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45" yWindow="-15" windowWidth="10290" windowHeight="8745"/>
  </bookViews>
  <sheets>
    <sheet name="P1, P2 Calculation" sheetId="4" r:id="rId1"/>
    <sheet name="Instructions" sheetId="5" r:id="rId2"/>
    <sheet name="Calculation Method" sheetId="6" r:id="rId3"/>
  </sheets>
  <definedNames>
    <definedName name="_0Q_max">'P1, P2 Calculation'!$C$14</definedName>
    <definedName name="_100Q_max">'P1, P2 Calculation'!$C$24</definedName>
    <definedName name="_10Q_max">'P1, P2 Calculation'!$C$15</definedName>
    <definedName name="_110Q_max">'P1, P2 Calculation'!$C$25</definedName>
    <definedName name="_120Q_max">'P1, P2 Calculation'!$C$26</definedName>
    <definedName name="_130Q_max">'P1, P2 Calculation'!$C$27</definedName>
    <definedName name="_140Q_max">'P1, P2 Calculation'!$C$28</definedName>
    <definedName name="_150Q_max">'P1, P2 Calculation'!$C$29</definedName>
    <definedName name="_20Q_max">'P1, P2 Calculation'!$C$16</definedName>
    <definedName name="_30Q_max">'P1, P2 Calculation'!$C$17</definedName>
    <definedName name="_40Q_max">'P1, P2 Calculation'!$C$18</definedName>
    <definedName name="_50Q_max">'P1, P2 Calculation'!$C$19</definedName>
    <definedName name="_60Q_max">'P1, P2 Calculation'!$C$20</definedName>
    <definedName name="_70Q_max">'P1, P2 Calculation'!$C$21</definedName>
    <definedName name="_80Q_max">'P1, P2 Calculation'!$C$22</definedName>
    <definedName name="_90Q_max">'P1, P2 Calculation'!$C$23</definedName>
    <definedName name="dp_dn">'P1, P2 Calculation'!$K$35</definedName>
    <definedName name="dp_up">'P1, P2 Calculation'!$K$33</definedName>
    <definedName name="dpdn_minQ">'P1, P2 Calculation'!$K$39</definedName>
    <definedName name="dpup_minQ">'P1, P2 Calculation'!$K$38</definedName>
    <definedName name="P1_maxQ">'P1, P2 Calculation'!$C$6</definedName>
    <definedName name="P1_minQ">'P1, P2 Calculation'!$C$9</definedName>
    <definedName name="P2_maxQ">'P1, P2 Calculation'!$C$7</definedName>
    <definedName name="P2_minQ">'P1, P2 Calculation'!$C$10</definedName>
    <definedName name="_xlnm.Print_Area" localSheetId="0">'P1, P2 Calculation'!$A$1:$G$31,'P1, P2 Calculation'!$H$12:$N$28</definedName>
    <definedName name="Q_max">'P1, P2 Calculation'!$C$5</definedName>
    <definedName name="Q_min">'P1, P2 Calculation'!$C$8</definedName>
    <definedName name="R_dn">'P1, P2 Calculation'!$K$36</definedName>
    <definedName name="R_up">'P1, P2 Calculation'!$K$34</definedName>
  </definedNames>
  <calcPr calcId="125725" iterate="1" iterateCount="1"/>
</workbook>
</file>

<file path=xl/calcChain.xml><?xml version="1.0" encoding="utf-8"?>
<calcChain xmlns="http://schemas.openxmlformats.org/spreadsheetml/2006/main">
  <c r="K35" i="4"/>
  <c r="K36" s="1"/>
  <c r="K33"/>
  <c r="K34" s="1"/>
  <c r="K38" s="1"/>
  <c r="K39" l="1"/>
  <c r="F22"/>
  <c r="F14"/>
  <c r="F18"/>
  <c r="F17"/>
  <c r="F16"/>
  <c r="D14"/>
  <c r="E14" s="1"/>
  <c r="C15"/>
  <c r="D15" s="1"/>
  <c r="E15" s="1"/>
  <c r="C16"/>
  <c r="D16" s="1"/>
  <c r="E16" s="1"/>
  <c r="C17"/>
  <c r="D17" s="1"/>
  <c r="E17" s="1"/>
  <c r="C18"/>
  <c r="D18" s="1"/>
  <c r="E18" s="1"/>
  <c r="C19"/>
  <c r="D19" s="1"/>
  <c r="E19" s="1"/>
  <c r="C20"/>
  <c r="D20" s="1"/>
  <c r="E20" s="1"/>
  <c r="C21"/>
  <c r="D21" s="1"/>
  <c r="E21" s="1"/>
  <c r="C22"/>
  <c r="D22" s="1"/>
  <c r="E22" s="1"/>
  <c r="C23"/>
  <c r="D23" s="1"/>
  <c r="E23" s="1"/>
  <c r="C24"/>
  <c r="D24" s="1"/>
  <c r="E24" s="1"/>
  <c r="C25"/>
  <c r="D25" s="1"/>
  <c r="E25" s="1"/>
  <c r="C26"/>
  <c r="D26" s="1"/>
  <c r="E26" s="1"/>
  <c r="C27"/>
  <c r="D27" s="1"/>
  <c r="E27" s="1"/>
  <c r="C28"/>
  <c r="D28" s="1"/>
  <c r="E28" s="1"/>
  <c r="C29"/>
  <c r="D29" s="1"/>
  <c r="E29" s="1"/>
  <c r="F24" l="1"/>
  <c r="F25"/>
  <c r="F15"/>
  <c r="G15" s="1"/>
  <c r="F19"/>
  <c r="F28"/>
  <c r="F29"/>
  <c r="F23"/>
  <c r="G23" s="1"/>
  <c r="F27"/>
  <c r="G28"/>
  <c r="F20"/>
  <c r="F21"/>
  <c r="G21" s="1"/>
  <c r="F26"/>
  <c r="G20"/>
  <c r="G26"/>
  <c r="G22"/>
  <c r="G16"/>
  <c r="G17"/>
  <c r="G18"/>
  <c r="G24"/>
  <c r="G25"/>
  <c r="G29"/>
  <c r="G27"/>
  <c r="G19"/>
  <c r="G14"/>
</calcChain>
</file>

<file path=xl/sharedStrings.xml><?xml version="1.0" encoding="utf-8"?>
<sst xmlns="http://schemas.openxmlformats.org/spreadsheetml/2006/main" count="80" uniqueCount="74">
  <si>
    <t>Process data</t>
  </si>
  <si>
    <t>Max des. Flow</t>
  </si>
  <si>
    <t>Q_max</t>
  </si>
  <si>
    <t>gpm</t>
  </si>
  <si>
    <t>P1 at max flow</t>
  </si>
  <si>
    <t>psig</t>
  </si>
  <si>
    <t>P2 at max flow</t>
  </si>
  <si>
    <t>Calculated Data</t>
  </si>
  <si>
    <t>Q, gpm</t>
  </si>
  <si>
    <t>P1, psig</t>
  </si>
  <si>
    <t xml:space="preserve">P2, psig </t>
  </si>
  <si>
    <t>0% Qmax</t>
  </si>
  <si>
    <t>0Q_max</t>
  </si>
  <si>
    <t>10% Qmax</t>
  </si>
  <si>
    <t>10Q_max</t>
  </si>
  <si>
    <t>20% Qmax</t>
  </si>
  <si>
    <t>20Q_max</t>
  </si>
  <si>
    <t>30% Qmax</t>
  </si>
  <si>
    <t>30Q_max</t>
  </si>
  <si>
    <t>40% Qmax</t>
  </si>
  <si>
    <t>40Q_max</t>
  </si>
  <si>
    <t>50% Qmax</t>
  </si>
  <si>
    <t>50Q_max</t>
  </si>
  <si>
    <t>60% Qmax</t>
  </si>
  <si>
    <t>60Q_max</t>
  </si>
  <si>
    <t>70% Qmax</t>
  </si>
  <si>
    <t>70Q_max</t>
  </si>
  <si>
    <t>80% Qmax</t>
  </si>
  <si>
    <t>80Q_max</t>
  </si>
  <si>
    <t>90% Qmax</t>
  </si>
  <si>
    <t>90Q_max</t>
  </si>
  <si>
    <t>100% Qmax</t>
  </si>
  <si>
    <t>100Q_max</t>
  </si>
  <si>
    <t>110% Qmax</t>
  </si>
  <si>
    <t>110Q_max</t>
  </si>
  <si>
    <t>120% Qmax</t>
  </si>
  <si>
    <t>120Q_max</t>
  </si>
  <si>
    <t>130% Qmax</t>
  </si>
  <si>
    <t>130Q_max</t>
  </si>
  <si>
    <t>140% Qmax</t>
  </si>
  <si>
    <t>140Q_max</t>
  </si>
  <si>
    <t>150% Qmax</t>
  </si>
  <si>
    <t>150Q_max</t>
  </si>
  <si>
    <t xml:space="preserve">                   Intermediate Calculations</t>
  </si>
  <si>
    <t>dp_up</t>
  </si>
  <si>
    <t>Upstream Res. Factor</t>
  </si>
  <si>
    <t>R_up</t>
  </si>
  <si>
    <t>dp_dn</t>
  </si>
  <si>
    <t>Downstream Res. Factor</t>
  </si>
  <si>
    <t>R_dn</t>
  </si>
  <si>
    <r>
      <t>Control Valve P</t>
    </r>
    <r>
      <rPr>
        <b/>
        <vertAlign val="subscript"/>
        <sz val="14"/>
        <color indexed="8"/>
        <rFont val="Arial"/>
        <family val="2"/>
      </rPr>
      <t>1</t>
    </r>
    <r>
      <rPr>
        <b/>
        <sz val="14"/>
        <color indexed="8"/>
        <rFont val="Arial"/>
        <family val="2"/>
      </rPr>
      <t xml:space="preserve"> and P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for 0 to 150% of Maximum Design Flow</t>
    </r>
  </si>
  <si>
    <t>Units</t>
  </si>
  <si>
    <t xml:space="preserve">This worksheet is furnished at no cost on an as-is basis. The author assumes no liability for its use. </t>
  </si>
  <si>
    <t>P1_maxQ</t>
  </si>
  <si>
    <t>P2_maxQ</t>
  </si>
  <si>
    <t>dp upstream pipe</t>
  </si>
  <si>
    <t>dp downstream pipe</t>
  </si>
  <si>
    <t>System dp upstream</t>
  </si>
  <si>
    <t>System dp downstream</t>
  </si>
  <si>
    <t>Pressure/flow squared</t>
  </si>
  <si>
    <r>
      <rPr>
        <b/>
        <sz val="18"/>
        <rFont val="Arial"/>
        <family val="2"/>
      </rPr>
      <t>Instructions</t>
    </r>
    <r>
      <rPr>
        <sz val="18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Microsoft Excel® Worksheet </t>
    </r>
    <r>
      <rPr>
        <b/>
        <sz val="10"/>
        <rFont val="Arial"/>
        <family val="2"/>
      </rPr>
      <t xml:space="preserve">          </t>
    </r>
    <r>
      <rPr>
        <b/>
        <sz val="11"/>
        <rFont val="Arial"/>
        <family val="2"/>
      </rPr>
      <t>Control Valve P1 and P2 vs. Flow</t>
    </r>
  </si>
  <si>
    <t>Min des. Flow</t>
  </si>
  <si>
    <t>Q_min</t>
  </si>
  <si>
    <t>P1 at min flow</t>
  </si>
  <si>
    <t>P2 at min flow</t>
  </si>
  <si>
    <t>P1_minQ</t>
  </si>
  <si>
    <t>P2_minQ</t>
  </si>
  <si>
    <t>dp upstream at min flow</t>
  </si>
  <si>
    <t>dpup_minQ</t>
  </si>
  <si>
    <t>dp downstream at min flow</t>
  </si>
  <si>
    <t>dpdn_minQ</t>
  </si>
  <si>
    <t>Data input</t>
  </si>
  <si>
    <t>Final results</t>
  </si>
  <si>
    <t>Pressure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</si>
</sst>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"/>
    <numFmt numFmtId="166" formatCode="0.00000"/>
  </numFmts>
  <fonts count="32">
    <font>
      <sz val="1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38"/>
    <xf numFmtId="0" fontId="22" fillId="0" borderId="0" xfId="38" applyFont="1"/>
    <xf numFmtId="0" fontId="2" fillId="0" borderId="0" xfId="38" applyAlignment="1">
      <alignment horizontal="right"/>
    </xf>
    <xf numFmtId="0" fontId="23" fillId="0" borderId="10" xfId="38" applyFont="1" applyBorder="1" applyAlignment="1">
      <alignment horizontal="center"/>
    </xf>
    <xf numFmtId="0" fontId="23" fillId="0" borderId="15" xfId="38" applyFont="1" applyBorder="1" applyAlignment="1">
      <alignment horizontal="left"/>
    </xf>
    <xf numFmtId="0" fontId="23" fillId="0" borderId="16" xfId="38" applyFont="1" applyBorder="1" applyAlignment="1">
      <alignment horizontal="center"/>
    </xf>
    <xf numFmtId="0" fontId="2" fillId="0" borderId="0" xfId="38" applyAlignment="1">
      <alignment wrapText="1"/>
    </xf>
    <xf numFmtId="0" fontId="2" fillId="0" borderId="0" xfId="38" applyAlignment="1">
      <alignment horizontal="center"/>
    </xf>
    <xf numFmtId="0" fontId="2" fillId="0" borderId="20" xfId="38" applyBorder="1" applyProtection="1">
      <protection locked="0"/>
    </xf>
    <xf numFmtId="0" fontId="2" fillId="0" borderId="21" xfId="38" applyBorder="1" applyProtection="1">
      <protection locked="0"/>
    </xf>
    <xf numFmtId="0" fontId="2" fillId="0" borderId="22" xfId="38" applyBorder="1" applyProtection="1">
      <protection locked="0"/>
    </xf>
    <xf numFmtId="0" fontId="2" fillId="0" borderId="0" xfId="38" applyAlignment="1">
      <alignment horizontal="left"/>
    </xf>
    <xf numFmtId="0" fontId="26" fillId="0" borderId="0" xfId="0" applyFont="1"/>
    <xf numFmtId="0" fontId="28" fillId="0" borderId="0" xfId="0" applyFont="1"/>
    <xf numFmtId="0" fontId="29" fillId="0" borderId="0" xfId="0" applyFont="1"/>
    <xf numFmtId="0" fontId="0" fillId="0" borderId="0" xfId="0" applyAlignment="1"/>
    <xf numFmtId="0" fontId="2" fillId="0" borderId="0" xfId="38" applyAlignment="1">
      <alignment vertical="top"/>
    </xf>
    <xf numFmtId="0" fontId="0" fillId="0" borderId="0" xfId="0" applyAlignment="1">
      <alignment vertical="top"/>
    </xf>
    <xf numFmtId="0" fontId="2" fillId="27" borderId="17" xfId="38" applyFill="1" applyBorder="1" applyProtection="1">
      <protection locked="0"/>
    </xf>
    <xf numFmtId="0" fontId="2" fillId="27" borderId="18" xfId="38" applyFill="1" applyBorder="1" applyProtection="1">
      <protection locked="0"/>
    </xf>
    <xf numFmtId="0" fontId="2" fillId="27" borderId="19" xfId="38" applyFill="1" applyBorder="1" applyProtection="1">
      <protection locked="0"/>
    </xf>
    <xf numFmtId="0" fontId="21" fillId="0" borderId="25" xfId="38" applyFont="1" applyBorder="1"/>
    <xf numFmtId="0" fontId="2" fillId="0" borderId="26" xfId="38" applyBorder="1"/>
    <xf numFmtId="0" fontId="2" fillId="0" borderId="27" xfId="38" applyBorder="1"/>
    <xf numFmtId="0" fontId="2" fillId="0" borderId="28" xfId="38" applyBorder="1"/>
    <xf numFmtId="0" fontId="2" fillId="0" borderId="0" xfId="38" applyBorder="1"/>
    <xf numFmtId="0" fontId="2" fillId="0" borderId="24" xfId="38" applyBorder="1"/>
    <xf numFmtId="0" fontId="2" fillId="24" borderId="28" xfId="38" applyFill="1" applyBorder="1"/>
    <xf numFmtId="0" fontId="24" fillId="24" borderId="28" xfId="34" applyFont="1" applyFill="1" applyBorder="1" applyAlignment="1" applyProtection="1"/>
    <xf numFmtId="0" fontId="2" fillId="25" borderId="28" xfId="38" applyFill="1" applyBorder="1"/>
    <xf numFmtId="0" fontId="1" fillId="27" borderId="30" xfId="11" applyNumberFormat="1" applyFont="1" applyFill="1" applyBorder="1" applyAlignment="1" applyProtection="1"/>
    <xf numFmtId="165" fontId="24" fillId="26" borderId="30" xfId="39" applyNumberFormat="1" applyFont="1" applyFill="1" applyBorder="1" applyAlignment="1" applyProtection="1"/>
    <xf numFmtId="0" fontId="2" fillId="0" borderId="33" xfId="38" applyBorder="1"/>
    <xf numFmtId="0" fontId="2" fillId="0" borderId="34" xfId="38" applyBorder="1"/>
    <xf numFmtId="0" fontId="2" fillId="0" borderId="35" xfId="38" applyBorder="1"/>
    <xf numFmtId="0" fontId="2" fillId="0" borderId="28" xfId="38" applyBorder="1" applyProtection="1"/>
    <xf numFmtId="0" fontId="2" fillId="0" borderId="0" xfId="38" applyBorder="1" applyProtection="1"/>
    <xf numFmtId="0" fontId="23" fillId="26" borderId="23" xfId="38" applyFont="1" applyFill="1" applyBorder="1" applyAlignment="1" applyProtection="1">
      <alignment horizontal="center" vertical="center"/>
    </xf>
    <xf numFmtId="0" fontId="2" fillId="0" borderId="23" xfId="38" applyBorder="1" applyAlignment="1" applyProtection="1">
      <alignment vertical="center" wrapText="1"/>
    </xf>
    <xf numFmtId="0" fontId="2" fillId="0" borderId="23" xfId="38" applyBorder="1" applyAlignment="1" applyProtection="1">
      <alignment horizontal="center" vertical="center" wrapText="1"/>
    </xf>
    <xf numFmtId="0" fontId="23" fillId="26" borderId="30" xfId="38" applyFont="1" applyFill="1" applyBorder="1" applyAlignment="1" applyProtection="1">
      <alignment horizontal="center" vertical="center"/>
    </xf>
    <xf numFmtId="0" fontId="2" fillId="26" borderId="11" xfId="38" applyFill="1" applyBorder="1" applyProtection="1"/>
    <xf numFmtId="164" fontId="2" fillId="0" borderId="0" xfId="38" applyNumberFormat="1" applyBorder="1" applyAlignment="1" applyProtection="1">
      <alignment horizontal="right"/>
    </xf>
    <xf numFmtId="164" fontId="2" fillId="26" borderId="12" xfId="38" applyNumberFormat="1" applyFill="1" applyBorder="1" applyProtection="1"/>
    <xf numFmtId="164" fontId="2" fillId="26" borderId="32" xfId="38" applyNumberFormat="1" applyFill="1" applyBorder="1" applyProtection="1"/>
    <xf numFmtId="0" fontId="2" fillId="26" borderId="12" xfId="38" applyFill="1" applyBorder="1" applyProtection="1"/>
    <xf numFmtId="0" fontId="2" fillId="26" borderId="13" xfId="38" applyFill="1" applyBorder="1" applyProtection="1"/>
    <xf numFmtId="0" fontId="2" fillId="26" borderId="14" xfId="38" applyFill="1" applyBorder="1" applyProtection="1"/>
    <xf numFmtId="0" fontId="2" fillId="0" borderId="28" xfId="38" applyBorder="1" applyProtection="1">
      <protection locked="0"/>
    </xf>
    <xf numFmtId="0" fontId="2" fillId="0" borderId="0" xfId="38" applyBorder="1" applyProtection="1">
      <protection locked="0"/>
    </xf>
    <xf numFmtId="0" fontId="2" fillId="0" borderId="24" xfId="38" applyBorder="1" applyProtection="1">
      <protection locked="0"/>
    </xf>
    <xf numFmtId="166" fontId="2" fillId="0" borderId="0" xfId="38" applyNumberFormat="1"/>
    <xf numFmtId="0" fontId="23" fillId="0" borderId="29" xfId="3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38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15" xfId="38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Valve P1 and P2 vs Q Rev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C000"/>
      <color rgb="FF99CCFF"/>
      <color rgb="FF99CC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0710097804938754E-2"/>
          <c:y val="7.4548702245552628E-2"/>
          <c:w val="0.73540726159230096"/>
          <c:h val="0.79822506561679785"/>
        </c:manualLayout>
      </c:layout>
      <c:scatterChart>
        <c:scatterStyle val="smoothMarker"/>
        <c:ser>
          <c:idx val="1"/>
          <c:order val="0"/>
          <c:tx>
            <c:strRef>
              <c:f>'P1, P2 Calculation'!$E$13</c:f>
              <c:strCache>
                <c:ptCount val="1"/>
                <c:pt idx="0">
                  <c:v>P1, psig</c:v>
                </c:pt>
              </c:strCache>
            </c:strRef>
          </c:tx>
          <c:marker>
            <c:symbol val="none"/>
          </c:marker>
          <c:xVal>
            <c:numRef>
              <c:f>'P1, P2 Calculation'!$C$14:$C$29</c:f>
              <c:numCache>
                <c:formatCode>General</c:formatCode>
                <c:ptCount val="16"/>
                <c:pt idx="0">
                  <c:v>0</c:v>
                </c:pt>
                <c:pt idx="1">
                  <c:v>55</c:v>
                </c:pt>
                <c:pt idx="2">
                  <c:v>110</c:v>
                </c:pt>
                <c:pt idx="3">
                  <c:v>165</c:v>
                </c:pt>
                <c:pt idx="4">
                  <c:v>220</c:v>
                </c:pt>
                <c:pt idx="5">
                  <c:v>275</c:v>
                </c:pt>
                <c:pt idx="6">
                  <c:v>330</c:v>
                </c:pt>
                <c:pt idx="7">
                  <c:v>385</c:v>
                </c:pt>
                <c:pt idx="8">
                  <c:v>440</c:v>
                </c:pt>
                <c:pt idx="9">
                  <c:v>495</c:v>
                </c:pt>
                <c:pt idx="10">
                  <c:v>550</c:v>
                </c:pt>
                <c:pt idx="11">
                  <c:v>605</c:v>
                </c:pt>
                <c:pt idx="12">
                  <c:v>660</c:v>
                </c:pt>
                <c:pt idx="13">
                  <c:v>715</c:v>
                </c:pt>
                <c:pt idx="14">
                  <c:v>770</c:v>
                </c:pt>
                <c:pt idx="15">
                  <c:v>825</c:v>
                </c:pt>
              </c:numCache>
            </c:numRef>
          </c:xVal>
          <c:yVal>
            <c:numRef>
              <c:f>'P1, P2 Calculation'!$E$14:$E$29</c:f>
              <c:numCache>
                <c:formatCode>0.0</c:formatCode>
                <c:ptCount val="16"/>
                <c:pt idx="0">
                  <c:v>42</c:v>
                </c:pt>
                <c:pt idx="1">
                  <c:v>41.9</c:v>
                </c:pt>
                <c:pt idx="2">
                  <c:v>41.6</c:v>
                </c:pt>
                <c:pt idx="3">
                  <c:v>41.1</c:v>
                </c:pt>
                <c:pt idx="4">
                  <c:v>40.4</c:v>
                </c:pt>
                <c:pt idx="5">
                  <c:v>39.5</c:v>
                </c:pt>
                <c:pt idx="6">
                  <c:v>38.4</c:v>
                </c:pt>
                <c:pt idx="7">
                  <c:v>37.1</c:v>
                </c:pt>
                <c:pt idx="8">
                  <c:v>35.6</c:v>
                </c:pt>
                <c:pt idx="9">
                  <c:v>33.9</c:v>
                </c:pt>
                <c:pt idx="10">
                  <c:v>32</c:v>
                </c:pt>
                <c:pt idx="11">
                  <c:v>29.9</c:v>
                </c:pt>
                <c:pt idx="12">
                  <c:v>27.599999999999994</c:v>
                </c:pt>
                <c:pt idx="13">
                  <c:v>25.099999999999994</c:v>
                </c:pt>
                <c:pt idx="14">
                  <c:v>22.399999999999995</c:v>
                </c:pt>
                <c:pt idx="15">
                  <c:v>19.499999999999993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'P1, P2 Calculation'!$G$13</c:f>
              <c:strCache>
                <c:ptCount val="1"/>
                <c:pt idx="0">
                  <c:v>P2, psig </c:v>
                </c:pt>
              </c:strCache>
            </c:strRef>
          </c:tx>
          <c:marker>
            <c:symbol val="none"/>
          </c:marker>
          <c:xVal>
            <c:numRef>
              <c:f>'P1, P2 Calculation'!$C$14:$C$29</c:f>
              <c:numCache>
                <c:formatCode>General</c:formatCode>
                <c:ptCount val="16"/>
                <c:pt idx="0">
                  <c:v>0</c:v>
                </c:pt>
                <c:pt idx="1">
                  <c:v>55</c:v>
                </c:pt>
                <c:pt idx="2">
                  <c:v>110</c:v>
                </c:pt>
                <c:pt idx="3">
                  <c:v>165</c:v>
                </c:pt>
                <c:pt idx="4">
                  <c:v>220</c:v>
                </c:pt>
                <c:pt idx="5">
                  <c:v>275</c:v>
                </c:pt>
                <c:pt idx="6">
                  <c:v>330</c:v>
                </c:pt>
                <c:pt idx="7">
                  <c:v>385</c:v>
                </c:pt>
                <c:pt idx="8">
                  <c:v>440</c:v>
                </c:pt>
                <c:pt idx="9">
                  <c:v>495</c:v>
                </c:pt>
                <c:pt idx="10">
                  <c:v>550</c:v>
                </c:pt>
                <c:pt idx="11">
                  <c:v>605</c:v>
                </c:pt>
                <c:pt idx="12">
                  <c:v>660</c:v>
                </c:pt>
                <c:pt idx="13">
                  <c:v>715</c:v>
                </c:pt>
                <c:pt idx="14">
                  <c:v>770</c:v>
                </c:pt>
                <c:pt idx="15">
                  <c:v>825</c:v>
                </c:pt>
              </c:numCache>
            </c:numRef>
          </c:xVal>
          <c:yVal>
            <c:numRef>
              <c:f>'P1, P2 Calculation'!$G$14:$G$29</c:f>
              <c:numCache>
                <c:formatCode>0.0</c:formatCode>
                <c:ptCount val="16"/>
                <c:pt idx="0">
                  <c:v>10.020833333333332</c:v>
                </c:pt>
                <c:pt idx="1">
                  <c:v>10.040624999999999</c:v>
                </c:pt>
                <c:pt idx="2">
                  <c:v>10.1</c:v>
                </c:pt>
                <c:pt idx="3">
                  <c:v>10.198958333333332</c:v>
                </c:pt>
                <c:pt idx="4">
                  <c:v>10.337499999999999</c:v>
                </c:pt>
                <c:pt idx="5">
                  <c:v>10.515624999999998</c:v>
                </c:pt>
                <c:pt idx="6">
                  <c:v>10.733333333333333</c:v>
                </c:pt>
                <c:pt idx="7">
                  <c:v>10.990625</c:v>
                </c:pt>
                <c:pt idx="8">
                  <c:v>11.2875</c:v>
                </c:pt>
                <c:pt idx="9">
                  <c:v>11.623958333333333</c:v>
                </c:pt>
                <c:pt idx="10">
                  <c:v>11.999999999999998</c:v>
                </c:pt>
                <c:pt idx="11">
                  <c:v>12.415625</c:v>
                </c:pt>
                <c:pt idx="12">
                  <c:v>12.870833333333332</c:v>
                </c:pt>
                <c:pt idx="13">
                  <c:v>13.365625</c:v>
                </c:pt>
                <c:pt idx="14">
                  <c:v>13.9</c:v>
                </c:pt>
                <c:pt idx="15">
                  <c:v>14.473958333333334</c:v>
                </c:pt>
              </c:numCache>
            </c:numRef>
          </c:yVal>
          <c:smooth val="1"/>
        </c:ser>
        <c:axId val="77929472"/>
        <c:axId val="77939456"/>
      </c:scatterChart>
      <c:valAx>
        <c:axId val="77929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39456"/>
        <c:crosses val="autoZero"/>
        <c:crossBetween val="midCat"/>
      </c:valAx>
      <c:valAx>
        <c:axId val="77939456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29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2099827882965"/>
          <c:y val="0.4076923076923078"/>
          <c:w val="0.14457831325301207"/>
          <c:h val="0.18461538461538479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292099</xdr:colOff>
      <xdr:row>12</xdr:row>
      <xdr:rowOff>27516</xdr:rowOff>
    </xdr:from>
    <xdr:to>
      <xdr:col>13</xdr:col>
      <xdr:colOff>456141</xdr:colOff>
      <xdr:row>26</xdr:row>
      <xdr:rowOff>64557</xdr:rowOff>
    </xdr:to>
    <xdr:graphicFrame macro="">
      <xdr:nvGraphicFramePr>
        <xdr:cNvPr id="11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5</xdr:row>
      <xdr:rowOff>38100</xdr:rowOff>
    </xdr:from>
    <xdr:to>
      <xdr:col>9</xdr:col>
      <xdr:colOff>304800</xdr:colOff>
      <xdr:row>19</xdr:row>
      <xdr:rowOff>57150</xdr:rowOff>
    </xdr:to>
    <xdr:pic>
      <xdr:nvPicPr>
        <xdr:cNvPr id="34827" name="Picture 9" descr="C:\Users\JonM\AppData\Roaming\PixelMetrics\CaptureWiz\Temp\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047750"/>
          <a:ext cx="491490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90" zoomScaleNormal="90" workbookViewId="0">
      <selection activeCell="C2" sqref="C2"/>
    </sheetView>
  </sheetViews>
  <sheetFormatPr defaultRowHeight="12.75"/>
  <cols>
    <col min="1" max="1" width="13.5703125" style="1" customWidth="1"/>
    <col min="2" max="2" width="14.28515625" style="1" customWidth="1"/>
    <col min="3" max="3" width="11.140625" style="1" customWidth="1"/>
    <col min="4" max="4" width="10.28515625" style="1" customWidth="1"/>
    <col min="5" max="5" width="11.85546875" style="1" customWidth="1"/>
    <col min="6" max="6" width="12.5703125" style="1" customWidth="1"/>
    <col min="7" max="7" width="11.85546875" style="1" customWidth="1"/>
    <col min="8" max="8" width="9.7109375" style="1" customWidth="1"/>
    <col min="9" max="9" width="29.28515625" style="1" customWidth="1"/>
    <col min="10" max="10" width="11.28515625" style="3" customWidth="1"/>
    <col min="11" max="11" width="12.5703125" style="1" customWidth="1"/>
    <col min="12" max="12" width="11" style="3" customWidth="1"/>
    <col min="13" max="13" width="9.42578125" style="1" customWidth="1"/>
    <col min="14" max="16384" width="9.140625" style="1"/>
  </cols>
  <sheetData>
    <row r="1" spans="1:11" ht="21.75" thickTop="1">
      <c r="A1" s="22" t="s">
        <v>50</v>
      </c>
      <c r="B1" s="23"/>
      <c r="C1" s="23"/>
      <c r="D1" s="23"/>
      <c r="E1" s="23"/>
      <c r="F1" s="23"/>
      <c r="G1" s="24"/>
      <c r="H1" s="2"/>
      <c r="I1" s="3"/>
      <c r="J1" s="1"/>
      <c r="K1" s="3"/>
    </row>
    <row r="2" spans="1:11">
      <c r="A2" s="49"/>
      <c r="B2" s="50"/>
      <c r="C2" s="50"/>
      <c r="D2" s="50"/>
      <c r="E2" s="50"/>
      <c r="F2" s="50"/>
      <c r="G2" s="51"/>
      <c r="I2" s="3"/>
      <c r="J2" s="1"/>
      <c r="K2" s="3"/>
    </row>
    <row r="3" spans="1:11" ht="13.5" thickBot="1">
      <c r="A3" s="49"/>
      <c r="B3" s="50"/>
      <c r="C3" s="50"/>
      <c r="D3" s="50"/>
      <c r="E3" s="50"/>
      <c r="F3" s="50"/>
      <c r="G3" s="51"/>
      <c r="I3" s="3"/>
      <c r="J3" s="1"/>
      <c r="K3" s="3"/>
    </row>
    <row r="4" spans="1:11" ht="16.5" thickBot="1">
      <c r="A4" s="53" t="s">
        <v>0</v>
      </c>
      <c r="B4" s="54"/>
      <c r="C4" s="54"/>
      <c r="D4" s="55"/>
      <c r="E4" s="26"/>
      <c r="F4" s="26"/>
      <c r="G4" s="27"/>
      <c r="I4" s="3"/>
      <c r="J4" s="1"/>
      <c r="K4" s="3"/>
    </row>
    <row r="5" spans="1:11">
      <c r="A5" s="28" t="s">
        <v>1</v>
      </c>
      <c r="B5" s="26" t="s">
        <v>2</v>
      </c>
      <c r="C5" s="19">
        <v>550</v>
      </c>
      <c r="D5" s="9" t="s">
        <v>3</v>
      </c>
      <c r="E5" s="26"/>
      <c r="F5" s="26"/>
      <c r="G5" s="27"/>
      <c r="I5" s="56" t="s">
        <v>52</v>
      </c>
      <c r="J5" s="57"/>
      <c r="K5" s="57"/>
    </row>
    <row r="6" spans="1:11">
      <c r="A6" s="29" t="s">
        <v>4</v>
      </c>
      <c r="B6" s="26" t="s">
        <v>53</v>
      </c>
      <c r="C6" s="20">
        <v>32</v>
      </c>
      <c r="D6" s="10" t="s">
        <v>5</v>
      </c>
      <c r="E6" s="26"/>
      <c r="F6" s="26"/>
      <c r="G6" s="27"/>
      <c r="I6" s="57"/>
      <c r="J6" s="57"/>
      <c r="K6" s="57"/>
    </row>
    <row r="7" spans="1:11" ht="13.5" thickBot="1">
      <c r="A7" s="30" t="s">
        <v>6</v>
      </c>
      <c r="B7" s="26" t="s">
        <v>54</v>
      </c>
      <c r="C7" s="20">
        <v>12</v>
      </c>
      <c r="D7" s="10" t="s">
        <v>5</v>
      </c>
      <c r="E7" s="26"/>
      <c r="F7" s="26"/>
      <c r="G7" s="27"/>
      <c r="J7" s="1"/>
      <c r="K7" s="3"/>
    </row>
    <row r="8" spans="1:11" ht="13.5" thickBot="1">
      <c r="A8" s="30" t="s">
        <v>61</v>
      </c>
      <c r="B8" s="26" t="s">
        <v>62</v>
      </c>
      <c r="C8" s="20">
        <v>110</v>
      </c>
      <c r="D8" s="10" t="s">
        <v>3</v>
      </c>
      <c r="E8" s="26"/>
      <c r="F8" s="26"/>
      <c r="G8" s="31" t="s">
        <v>71</v>
      </c>
      <c r="J8" s="1"/>
      <c r="K8" s="3"/>
    </row>
    <row r="9" spans="1:11" ht="13.5" thickBot="1">
      <c r="A9" s="28" t="s">
        <v>63</v>
      </c>
      <c r="B9" s="26" t="s">
        <v>65</v>
      </c>
      <c r="C9" s="20">
        <v>41.6</v>
      </c>
      <c r="D9" s="10" t="s">
        <v>5</v>
      </c>
      <c r="E9" s="26"/>
      <c r="F9" s="26"/>
      <c r="G9" s="32" t="s">
        <v>72</v>
      </c>
      <c r="J9" s="1"/>
      <c r="K9" s="3"/>
    </row>
    <row r="10" spans="1:11" ht="13.5" thickBot="1">
      <c r="A10" s="28" t="s">
        <v>64</v>
      </c>
      <c r="B10" s="26" t="s">
        <v>66</v>
      </c>
      <c r="C10" s="21">
        <v>10.1</v>
      </c>
      <c r="D10" s="11" t="s">
        <v>5</v>
      </c>
      <c r="E10" s="26"/>
      <c r="F10" s="26"/>
      <c r="G10" s="27"/>
      <c r="J10" s="1"/>
      <c r="K10" s="3"/>
    </row>
    <row r="11" spans="1:11" ht="13.5" thickBot="1">
      <c r="A11" s="25"/>
      <c r="B11" s="26"/>
      <c r="C11" s="26"/>
      <c r="D11" s="26"/>
      <c r="E11" s="26"/>
      <c r="F11" s="26"/>
      <c r="G11" s="27"/>
      <c r="I11" s="3"/>
      <c r="J11" s="1"/>
      <c r="K11" s="3"/>
    </row>
    <row r="12" spans="1:11" ht="16.5" thickBot="1">
      <c r="A12" s="36"/>
      <c r="B12" s="37"/>
      <c r="C12" s="58" t="s">
        <v>7</v>
      </c>
      <c r="D12" s="59"/>
      <c r="E12" s="59"/>
      <c r="F12" s="59"/>
      <c r="G12" s="60"/>
    </row>
    <row r="13" spans="1:11" ht="30" customHeight="1" thickBot="1">
      <c r="A13" s="36"/>
      <c r="B13" s="37"/>
      <c r="C13" s="38" t="s">
        <v>8</v>
      </c>
      <c r="D13" s="39" t="s">
        <v>57</v>
      </c>
      <c r="E13" s="38" t="s">
        <v>9</v>
      </c>
      <c r="F13" s="40" t="s">
        <v>58</v>
      </c>
      <c r="G13" s="41" t="s">
        <v>10</v>
      </c>
    </row>
    <row r="14" spans="1:11" ht="12.75" customHeight="1">
      <c r="A14" s="36" t="s">
        <v>11</v>
      </c>
      <c r="B14" s="37" t="s">
        <v>12</v>
      </c>
      <c r="C14" s="42">
        <v>0</v>
      </c>
      <c r="D14" s="43">
        <f>_0Q_max^2*R_up</f>
        <v>0</v>
      </c>
      <c r="E14" s="44">
        <f t="shared" ref="E14:E29" si="0">P1_minQ-D14+dpup_minQ</f>
        <v>42</v>
      </c>
      <c r="F14" s="43">
        <f>_0Q_max^2*R_dn</f>
        <v>0</v>
      </c>
      <c r="G14" s="45">
        <f t="shared" ref="G14:G29" si="1">P2_minQ+F14-dpdn_minQ</f>
        <v>10.020833333333332</v>
      </c>
    </row>
    <row r="15" spans="1:11">
      <c r="A15" s="36" t="s">
        <v>13</v>
      </c>
      <c r="B15" s="37" t="s">
        <v>14</v>
      </c>
      <c r="C15" s="46">
        <f>0.1*Q_max</f>
        <v>55</v>
      </c>
      <c r="D15" s="43">
        <f>_10Q_max^2*R_up</f>
        <v>0.10000000000000002</v>
      </c>
      <c r="E15" s="44">
        <f t="shared" si="0"/>
        <v>41.9</v>
      </c>
      <c r="F15" s="43">
        <f>_10Q_max^2*R_dn</f>
        <v>1.9791666666666669E-2</v>
      </c>
      <c r="G15" s="45">
        <f t="shared" si="1"/>
        <v>10.040624999999999</v>
      </c>
    </row>
    <row r="16" spans="1:11">
      <c r="A16" s="36" t="s">
        <v>15</v>
      </c>
      <c r="B16" s="37" t="s">
        <v>16</v>
      </c>
      <c r="C16" s="46">
        <f>0.2*Q_max</f>
        <v>110</v>
      </c>
      <c r="D16" s="43">
        <f>_20Q_max^2*R_up</f>
        <v>0.40000000000000008</v>
      </c>
      <c r="E16" s="44">
        <f t="shared" si="0"/>
        <v>41.6</v>
      </c>
      <c r="F16" s="43">
        <f>_20Q_max^2*R_dn</f>
        <v>7.9166666666666677E-2</v>
      </c>
      <c r="G16" s="45">
        <f t="shared" si="1"/>
        <v>10.1</v>
      </c>
    </row>
    <row r="17" spans="1:12">
      <c r="A17" s="36" t="s">
        <v>17</v>
      </c>
      <c r="B17" s="37" t="s">
        <v>18</v>
      </c>
      <c r="C17" s="46">
        <f>0.3*Q_max</f>
        <v>165</v>
      </c>
      <c r="D17" s="43">
        <f>_30Q_max^2*R_up</f>
        <v>0.90000000000000024</v>
      </c>
      <c r="E17" s="44">
        <f t="shared" si="0"/>
        <v>41.1</v>
      </c>
      <c r="F17" s="43">
        <f>_30Q_max^2*R_dn</f>
        <v>0.17812500000000003</v>
      </c>
      <c r="G17" s="45">
        <f t="shared" si="1"/>
        <v>10.198958333333332</v>
      </c>
    </row>
    <row r="18" spans="1:12" ht="12.75" customHeight="1">
      <c r="A18" s="36" t="s">
        <v>19</v>
      </c>
      <c r="B18" s="37" t="s">
        <v>20</v>
      </c>
      <c r="C18" s="46">
        <f>0.4*Q_max</f>
        <v>220</v>
      </c>
      <c r="D18" s="43">
        <f>_40Q_max^2*R_up</f>
        <v>1.6000000000000003</v>
      </c>
      <c r="E18" s="44">
        <f t="shared" si="0"/>
        <v>40.4</v>
      </c>
      <c r="F18" s="43">
        <f>_40Q_max^2*R_dn</f>
        <v>0.31666666666666671</v>
      </c>
      <c r="G18" s="45">
        <f t="shared" si="1"/>
        <v>10.337499999999999</v>
      </c>
    </row>
    <row r="19" spans="1:12">
      <c r="A19" s="36" t="s">
        <v>21</v>
      </c>
      <c r="B19" s="37" t="s">
        <v>22</v>
      </c>
      <c r="C19" s="46">
        <f>0.5*Q_max</f>
        <v>275</v>
      </c>
      <c r="D19" s="43">
        <f>_50Q_max^2*R_up</f>
        <v>2.5000000000000004</v>
      </c>
      <c r="E19" s="44">
        <f t="shared" si="0"/>
        <v>39.5</v>
      </c>
      <c r="F19" s="43">
        <f>_50Q_max^2*R_dn</f>
        <v>0.49479166666666674</v>
      </c>
      <c r="G19" s="45">
        <f t="shared" si="1"/>
        <v>10.515624999999998</v>
      </c>
    </row>
    <row r="20" spans="1:12">
      <c r="A20" s="36" t="s">
        <v>23</v>
      </c>
      <c r="B20" s="37" t="s">
        <v>24</v>
      </c>
      <c r="C20" s="46">
        <f>0.6*Q_max</f>
        <v>330</v>
      </c>
      <c r="D20" s="43">
        <f>_60Q_max^2*R_up</f>
        <v>3.600000000000001</v>
      </c>
      <c r="E20" s="44">
        <f t="shared" si="0"/>
        <v>38.4</v>
      </c>
      <c r="F20" s="43">
        <f>_60Q_max^2*R_dn</f>
        <v>0.71250000000000013</v>
      </c>
      <c r="G20" s="45">
        <f t="shared" si="1"/>
        <v>10.733333333333333</v>
      </c>
    </row>
    <row r="21" spans="1:12">
      <c r="A21" s="36" t="s">
        <v>25</v>
      </c>
      <c r="B21" s="37" t="s">
        <v>26</v>
      </c>
      <c r="C21" s="46">
        <f>0.7*Q_max</f>
        <v>385</v>
      </c>
      <c r="D21" s="43">
        <f>_70Q_max^2*R_up</f>
        <v>4.9000000000000012</v>
      </c>
      <c r="E21" s="44">
        <f t="shared" si="0"/>
        <v>37.1</v>
      </c>
      <c r="F21" s="43">
        <f>_70Q_max^2*R_dn</f>
        <v>0.96979166666666683</v>
      </c>
      <c r="G21" s="45">
        <f t="shared" si="1"/>
        <v>10.990625</v>
      </c>
      <c r="I21" s="16"/>
      <c r="J21" s="16"/>
      <c r="K21" s="16"/>
    </row>
    <row r="22" spans="1:12">
      <c r="A22" s="36" t="s">
        <v>27</v>
      </c>
      <c r="B22" s="37" t="s">
        <v>28</v>
      </c>
      <c r="C22" s="46">
        <f>0.8*Q_max</f>
        <v>440</v>
      </c>
      <c r="D22" s="43">
        <f>_80Q_max^2*R_up</f>
        <v>6.4000000000000012</v>
      </c>
      <c r="E22" s="44">
        <f t="shared" si="0"/>
        <v>35.6</v>
      </c>
      <c r="F22" s="43">
        <f>_80Q_max^2*R_dn</f>
        <v>1.2666666666666668</v>
      </c>
      <c r="G22" s="45">
        <f t="shared" si="1"/>
        <v>11.2875</v>
      </c>
      <c r="I22" s="16"/>
      <c r="J22" s="16"/>
      <c r="K22" s="16"/>
    </row>
    <row r="23" spans="1:12">
      <c r="A23" s="36" t="s">
        <v>29</v>
      </c>
      <c r="B23" s="37" t="s">
        <v>30</v>
      </c>
      <c r="C23" s="46">
        <f>0.9*Q_max</f>
        <v>495</v>
      </c>
      <c r="D23" s="43">
        <f>_90Q_max^2*R_up</f>
        <v>8.1000000000000014</v>
      </c>
      <c r="E23" s="44">
        <f t="shared" si="0"/>
        <v>33.9</v>
      </c>
      <c r="F23" s="43">
        <f>_90Q_max^2*R_dn</f>
        <v>1.6031250000000004</v>
      </c>
      <c r="G23" s="45">
        <f t="shared" si="1"/>
        <v>11.623958333333333</v>
      </c>
      <c r="I23" s="16"/>
      <c r="J23" s="16"/>
      <c r="K23" s="16"/>
    </row>
    <row r="24" spans="1:12">
      <c r="A24" s="36" t="s">
        <v>31</v>
      </c>
      <c r="B24" s="37" t="s">
        <v>32</v>
      </c>
      <c r="C24" s="46">
        <f>1*Q_max</f>
        <v>550</v>
      </c>
      <c r="D24" s="43">
        <f>_100Q_max^2*R_up</f>
        <v>10.000000000000002</v>
      </c>
      <c r="E24" s="44">
        <f t="shared" si="0"/>
        <v>32</v>
      </c>
      <c r="F24" s="43">
        <f>_100Q_max^2*R_dn</f>
        <v>1.979166666666667</v>
      </c>
      <c r="G24" s="45">
        <f t="shared" si="1"/>
        <v>11.999999999999998</v>
      </c>
      <c r="I24" s="16"/>
      <c r="J24" s="16"/>
      <c r="K24" s="16"/>
    </row>
    <row r="25" spans="1:12">
      <c r="A25" s="36" t="s">
        <v>33</v>
      </c>
      <c r="B25" s="37" t="s">
        <v>34</v>
      </c>
      <c r="C25" s="46">
        <f>1.1*Q_max</f>
        <v>605</v>
      </c>
      <c r="D25" s="43">
        <f>_110Q_max^2*R_up</f>
        <v>12.100000000000003</v>
      </c>
      <c r="E25" s="44">
        <f t="shared" si="0"/>
        <v>29.9</v>
      </c>
      <c r="F25" s="43">
        <f>_110Q_max^2*R_dn</f>
        <v>2.3947916666666673</v>
      </c>
      <c r="G25" s="45">
        <f t="shared" si="1"/>
        <v>12.415625</v>
      </c>
      <c r="I25" s="16"/>
      <c r="J25" s="16"/>
      <c r="K25" s="16"/>
    </row>
    <row r="26" spans="1:12">
      <c r="A26" s="36" t="s">
        <v>35</v>
      </c>
      <c r="B26" s="37" t="s">
        <v>36</v>
      </c>
      <c r="C26" s="47">
        <f>1.2*Q_max</f>
        <v>660</v>
      </c>
      <c r="D26" s="43">
        <f>_120Q_max^2*R_up</f>
        <v>14.400000000000004</v>
      </c>
      <c r="E26" s="44">
        <f t="shared" si="0"/>
        <v>27.599999999999994</v>
      </c>
      <c r="F26" s="43">
        <f>_120Q_max^2*R_dn</f>
        <v>2.8500000000000005</v>
      </c>
      <c r="G26" s="45">
        <f t="shared" si="1"/>
        <v>12.870833333333332</v>
      </c>
      <c r="I26" s="17"/>
      <c r="J26" s="18"/>
      <c r="K26" s="18"/>
    </row>
    <row r="27" spans="1:12" ht="12.75" customHeight="1">
      <c r="A27" s="36" t="s">
        <v>37</v>
      </c>
      <c r="B27" s="37" t="s">
        <v>38</v>
      </c>
      <c r="C27" s="46">
        <f>1.3*Q_max</f>
        <v>715</v>
      </c>
      <c r="D27" s="43">
        <f>_130Q_max^2*R_up</f>
        <v>16.900000000000006</v>
      </c>
      <c r="E27" s="44">
        <f t="shared" si="0"/>
        <v>25.099999999999994</v>
      </c>
      <c r="F27" s="43">
        <f>_130Q_max^2*R_dn</f>
        <v>3.3447916666666675</v>
      </c>
      <c r="G27" s="45">
        <f t="shared" si="1"/>
        <v>13.365625</v>
      </c>
      <c r="I27" s="18"/>
      <c r="J27" s="18"/>
      <c r="K27" s="18"/>
    </row>
    <row r="28" spans="1:12" ht="12.75" customHeight="1">
      <c r="A28" s="36" t="s">
        <v>39</v>
      </c>
      <c r="B28" s="37" t="s">
        <v>40</v>
      </c>
      <c r="C28" s="46">
        <f>1.4*Q_max</f>
        <v>770</v>
      </c>
      <c r="D28" s="43">
        <f>_140Q_max^2*R_up</f>
        <v>19.600000000000005</v>
      </c>
      <c r="E28" s="44">
        <f t="shared" si="0"/>
        <v>22.399999999999995</v>
      </c>
      <c r="F28" s="43">
        <f>_140Q_max^2*R_dn</f>
        <v>3.8791666666666673</v>
      </c>
      <c r="G28" s="45">
        <f t="shared" si="1"/>
        <v>13.9</v>
      </c>
      <c r="I28" s="18"/>
      <c r="J28" s="18"/>
      <c r="K28" s="18"/>
    </row>
    <row r="29" spans="1:12" ht="12.75" customHeight="1" thickBot="1">
      <c r="A29" s="36" t="s">
        <v>41</v>
      </c>
      <c r="B29" s="37" t="s">
        <v>42</v>
      </c>
      <c r="C29" s="48">
        <f>1.5*Q_max</f>
        <v>825</v>
      </c>
      <c r="D29" s="43">
        <f>_150Q_max^2*R_up</f>
        <v>22.500000000000007</v>
      </c>
      <c r="E29" s="44">
        <f t="shared" si="0"/>
        <v>19.499999999999993</v>
      </c>
      <c r="F29" s="43">
        <f>_150Q_max^2*R_dn</f>
        <v>4.4531250000000009</v>
      </c>
      <c r="G29" s="45">
        <f t="shared" si="1"/>
        <v>14.473958333333334</v>
      </c>
    </row>
    <row r="30" spans="1:12" ht="12.75" customHeight="1" thickBot="1">
      <c r="A30" s="25"/>
      <c r="B30" s="26"/>
      <c r="C30" s="26"/>
      <c r="D30" s="26"/>
      <c r="E30" s="26"/>
      <c r="F30" s="26"/>
      <c r="G30" s="27"/>
    </row>
    <row r="31" spans="1:12" ht="12.75" customHeight="1" thickBot="1">
      <c r="A31" s="33"/>
      <c r="B31" s="34"/>
      <c r="C31" s="34"/>
      <c r="D31" s="34"/>
      <c r="E31" s="34"/>
      <c r="F31" s="34"/>
      <c r="G31" s="35"/>
      <c r="I31" s="5" t="s">
        <v>43</v>
      </c>
      <c r="J31" s="4"/>
      <c r="K31" s="6"/>
    </row>
    <row r="32" spans="1:12" ht="12.75" customHeight="1" thickTop="1">
      <c r="L32" s="8" t="s">
        <v>51</v>
      </c>
    </row>
    <row r="33" spans="9:12" ht="12.75" customHeight="1">
      <c r="I33" s="7" t="s">
        <v>55</v>
      </c>
      <c r="J33" s="1" t="s">
        <v>44</v>
      </c>
      <c r="K33" s="1">
        <f>P1_minQ-P1_maxQ</f>
        <v>9.6000000000000014</v>
      </c>
    </row>
    <row r="34" spans="9:12" ht="12.75" customHeight="1">
      <c r="I34" s="7" t="s">
        <v>45</v>
      </c>
      <c r="J34" s="1" t="s">
        <v>46</v>
      </c>
      <c r="K34" s="1">
        <f>dp_up/(Q_max^2-Q_min^2)</f>
        <v>3.3057851239669429E-5</v>
      </c>
      <c r="L34" s="12" t="s">
        <v>59</v>
      </c>
    </row>
    <row r="35" spans="9:12" ht="12.75" customHeight="1">
      <c r="I35" s="7" t="s">
        <v>56</v>
      </c>
      <c r="J35" s="1" t="s">
        <v>47</v>
      </c>
      <c r="K35" s="1">
        <f>P2_maxQ-P2_minQ</f>
        <v>1.9000000000000004</v>
      </c>
    </row>
    <row r="36" spans="9:12" ht="12.75" customHeight="1">
      <c r="I36" s="7" t="s">
        <v>48</v>
      </c>
      <c r="J36" s="1" t="s">
        <v>49</v>
      </c>
      <c r="K36" s="1">
        <f>dp_dn/(Q_max^2-Q_min^2)</f>
        <v>6.5426997245179076E-6</v>
      </c>
      <c r="L36" s="12" t="s">
        <v>59</v>
      </c>
    </row>
    <row r="37" spans="9:12" ht="12.75" customHeight="1"/>
    <row r="38" spans="9:12">
      <c r="I38" s="1" t="s">
        <v>67</v>
      </c>
      <c r="J38" s="3" t="s">
        <v>68</v>
      </c>
      <c r="K38" s="52">
        <f>R_up*Q_min^2</f>
        <v>0.40000000000000008</v>
      </c>
      <c r="L38" s="3" t="s">
        <v>73</v>
      </c>
    </row>
    <row r="39" spans="9:12">
      <c r="I39" s="1" t="s">
        <v>69</v>
      </c>
      <c r="J39" s="3" t="s">
        <v>70</v>
      </c>
      <c r="K39" s="52">
        <f>R_dn*Q_min^2</f>
        <v>7.9166666666666677E-2</v>
      </c>
      <c r="L39" s="3" t="s">
        <v>73</v>
      </c>
    </row>
  </sheetData>
  <sheetProtection password="8E81" sheet="1" objects="1" scenarios="1" formatCells="0"/>
  <mergeCells count="3">
    <mergeCell ref="A4:D4"/>
    <mergeCell ref="I5:K6"/>
    <mergeCell ref="C12:G12"/>
  </mergeCells>
  <phoneticPr fontId="2" type="noConversion"/>
  <pageMargins left="1.2" right="0.95" top="0.56000000000000005" bottom="0.48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2:I4"/>
  <sheetViews>
    <sheetView showGridLines="0" workbookViewId="0">
      <selection activeCell="E2" sqref="E2:H4"/>
    </sheetView>
  </sheetViews>
  <sheetFormatPr defaultRowHeight="12.75"/>
  <sheetData>
    <row r="2" spans="5:9" ht="23.25">
      <c r="E2" s="61" t="s">
        <v>60</v>
      </c>
      <c r="F2" s="62"/>
      <c r="G2" s="62"/>
      <c r="H2" s="62"/>
      <c r="I2" s="14"/>
    </row>
    <row r="3" spans="5:9" ht="15">
      <c r="E3" s="62"/>
      <c r="F3" s="62"/>
      <c r="G3" s="62"/>
      <c r="H3" s="62"/>
      <c r="I3" s="13"/>
    </row>
    <row r="4" spans="5:9" ht="15.75">
      <c r="E4" s="62"/>
      <c r="F4" s="62"/>
      <c r="G4" s="62"/>
      <c r="H4" s="62"/>
      <c r="I4" s="15"/>
    </row>
  </sheetData>
  <sheetProtection password="8E81" sheet="1" objects="1" scenarios="1"/>
  <mergeCells count="1">
    <mergeCell ref="E2:H4"/>
  </mergeCells>
  <pageMargins left="0.7" right="0.7" top="0.75" bottom="0.75" header="0.3" footer="0.3"/>
  <pageSetup orientation="landscape" r:id="rId1"/>
  <drawing r:id="rId2"/>
  <legacyDrawing r:id="rId3"/>
  <oleObjects>
    <oleObject progId="Document" shapeId="3483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"/>
    </sheetView>
  </sheetViews>
  <sheetFormatPr defaultRowHeight="12.75"/>
  <sheetData/>
  <sheetProtection password="8E81" sheet="1" objects="1" scenarios="1"/>
  <pageMargins left="0.7" right="0.7" top="0.75" bottom="0.75" header="0.3" footer="0.3"/>
  <pageSetup orientation="landscape" r:id="rId1"/>
  <legacyDrawing r:id="rId2"/>
  <oleObjects>
    <oleObject progId="Document" shapeId="358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P1, P2 Calculation</vt:lpstr>
      <vt:lpstr>Instructions</vt:lpstr>
      <vt:lpstr>Calculation Method</vt:lpstr>
      <vt:lpstr>_0Q_max</vt:lpstr>
      <vt:lpstr>_100Q_max</vt:lpstr>
      <vt:lpstr>_10Q_max</vt:lpstr>
      <vt:lpstr>_110Q_max</vt:lpstr>
      <vt:lpstr>_120Q_max</vt:lpstr>
      <vt:lpstr>_130Q_max</vt:lpstr>
      <vt:lpstr>_140Q_max</vt:lpstr>
      <vt:lpstr>_150Q_max</vt:lpstr>
      <vt:lpstr>_20Q_max</vt:lpstr>
      <vt:lpstr>_30Q_max</vt:lpstr>
      <vt:lpstr>_40Q_max</vt:lpstr>
      <vt:lpstr>_50Q_max</vt:lpstr>
      <vt:lpstr>_60Q_max</vt:lpstr>
      <vt:lpstr>_70Q_max</vt:lpstr>
      <vt:lpstr>_80Q_max</vt:lpstr>
      <vt:lpstr>_90Q_max</vt:lpstr>
      <vt:lpstr>dp_dn</vt:lpstr>
      <vt:lpstr>dp_up</vt:lpstr>
      <vt:lpstr>dpdn_minQ</vt:lpstr>
      <vt:lpstr>dpup_minQ</vt:lpstr>
      <vt:lpstr>P1_maxQ</vt:lpstr>
      <vt:lpstr>P1_minQ</vt:lpstr>
      <vt:lpstr>P2_maxQ</vt:lpstr>
      <vt:lpstr>P2_minQ</vt:lpstr>
      <vt:lpstr>'P1, P2 Calculation'!Print_Area</vt:lpstr>
      <vt:lpstr>Q_max</vt:lpstr>
      <vt:lpstr>Q_min</vt:lpstr>
      <vt:lpstr>R_dn</vt:lpstr>
      <vt:lpstr>R_up</vt:lpstr>
    </vt:vector>
  </TitlesOfParts>
  <Company>Jamesbury Neles Controls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Monsen</dc:creator>
  <cp:lastModifiedBy>JonM</cp:lastModifiedBy>
  <cp:lastPrinted>2015-08-28T11:46:58Z</cp:lastPrinted>
  <dcterms:created xsi:type="dcterms:W3CDTF">2003-02-09T18:04:14Z</dcterms:created>
  <dcterms:modified xsi:type="dcterms:W3CDTF">2015-08-30T13:05:35Z</dcterms:modified>
</cp:coreProperties>
</file>