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80" windowHeight="7800"/>
  </bookViews>
  <sheets>
    <sheet name="PRESSURE LOSS" sheetId="1" r:id="rId1"/>
    <sheet name="INSTRUCTIONS" sheetId="2" r:id="rId2"/>
    <sheet name="ISO VALVE Cv TABLES" sheetId="3" r:id="rId3"/>
  </sheets>
  <definedNames>
    <definedName name="Cv_Valve_1">'PRESSURE LOSS'!$C$29</definedName>
    <definedName name="Cv_Valve_2">'PRESSURE LOSS'!$C$30</definedName>
    <definedName name="Cv_Valve_3">'PRESSURE LOSS'!$C$31</definedName>
    <definedName name="Cv_Valve_4">'PRESSURE LOSS'!$C$32</definedName>
    <definedName name="Cv_Valve_5">'PRESSURE LOSS'!$C$33</definedName>
    <definedName name="D_ft">'PRESSURE LOSS'!$C$11</definedName>
    <definedName name="d_in">'PRESSURE LOSS'!$C$10</definedName>
    <definedName name="Delta_h">'PRESSURE LOSS'!$C$69</definedName>
    <definedName name="Delta_P">'PRESSURE LOSS'!$C$70</definedName>
    <definedName name="Epsilon">'PRESSURE LOSS'!$C$16</definedName>
    <definedName name="Exp_Beta">'PRESSURE LOSS'!$C$35</definedName>
    <definedName name="f">'PRESSURE LOSS'!$C$19</definedName>
    <definedName name="f_T">'PRESSURE LOSS'!$C$20</definedName>
    <definedName name="G">'PRESSURE LOSS'!$C$13</definedName>
    <definedName name="K_Addl_Equip">'PRESSURE LOSS'!$C$65</definedName>
    <definedName name="K_of_45L">'PRESSURE LOSS'!$C$60</definedName>
    <definedName name="K_of_Balls">'PRESSURE LOSS'!$C$44</definedName>
    <definedName name="K_of_BFs">'PRESSURE LOSS'!$C$50</definedName>
    <definedName name="K_of_Checks">'PRESSURE LOSS'!$C$47</definedName>
    <definedName name="K_of_Entrance">'PRESSURE LOSS'!$C$63</definedName>
    <definedName name="K_of_Exit">'PRESSURE LOSS'!$C$64</definedName>
    <definedName name="K_of_Expander">'PRESSURE LOSS'!$C$57</definedName>
    <definedName name="K_of_Gates">'PRESSURE LOSS'!$C$46</definedName>
    <definedName name="K_of_Globes">'PRESSURE LOSS'!$C$48</definedName>
    <definedName name="K_of_LR_90L">'PRESSURE LOSS'!$C$58</definedName>
    <definedName name="K_of_Pipe">'PRESSURE LOSS'!$C$67</definedName>
    <definedName name="K_of_Plugs">'PRESSURE LOSS'!$C$45</definedName>
    <definedName name="K_of_Reducer">'PRESSURE LOSS'!$C$56</definedName>
    <definedName name="K_of_Std_90L">'PRESSURE LOSS'!$C$59</definedName>
    <definedName name="K_of_T_Brnch">'PRESSURE LOSS'!$C$61</definedName>
    <definedName name="K_of_T_Strt">'PRESSURE LOSS'!$C$62</definedName>
    <definedName name="K_of_Y_Globes">'PRESSURE LOSS'!$C$49</definedName>
    <definedName name="K_Valve_1">'PRESSURE LOSS'!$C$51</definedName>
    <definedName name="K_Valve_2">'PRESSURE LOSS'!$C$52</definedName>
    <definedName name="K_Valve_3">'PRESSURE LOSS'!$C$53</definedName>
    <definedName name="K_Valve_4">'PRESSURE LOSS'!$C$54</definedName>
    <definedName name="K_Valve_5">'PRESSURE LOSS'!$C$55</definedName>
    <definedName name="L">'PRESSURE LOSS'!$C$12</definedName>
    <definedName name="Mu">'PRESSURE LOSS'!$C$17</definedName>
    <definedName name="No_of_45L">'PRESSURE LOSS'!$C$38</definedName>
    <definedName name="No_of_Ball">'PRESSURE LOSS'!$C$22</definedName>
    <definedName name="No_of_BF">'PRESSURE LOSS'!$C$28</definedName>
    <definedName name="No_of_Check">'PRESSURE LOSS'!$C$25</definedName>
    <definedName name="No_of_Entrance">'PRESSURE LOSS'!$C$41</definedName>
    <definedName name="No_of_Exit">'PRESSURE LOSS'!$C$42</definedName>
    <definedName name="No_of_Gate">'PRESSURE LOSS'!$C$24</definedName>
    <definedName name="No_of_Globe">'PRESSURE LOSS'!$C$26</definedName>
    <definedName name="No_of_LR_90L">'PRESSURE LOSS'!$C$36</definedName>
    <definedName name="No_of_Plug">'PRESSURE LOSS'!$C$23</definedName>
    <definedName name="No_of_Std_90L">'PRESSURE LOSS'!$C$37</definedName>
    <definedName name="No_of_T_Brnch">'PRESSURE LOSS'!$C$39</definedName>
    <definedName name="No_of_T_Strt">'PRESSURE LOSS'!$C$40</definedName>
    <definedName name="No_of_Y_Globe">'PRESSURE LOSS'!$C$27</definedName>
    <definedName name="P_1">'PRESSURE LOSS'!$C$73</definedName>
    <definedName name="P_2">'PRESSURE LOSS'!$C$74</definedName>
    <definedName name="_xlnm.Print_Area" localSheetId="1">INSTRUCTIONS!$A$1:$I$86</definedName>
    <definedName name="_xlnm.Print_Area" localSheetId="0">'PRESSURE LOSS'!$A$1:$L$74</definedName>
    <definedName name="Q">'PRESSURE LOSS'!$C$15</definedName>
    <definedName name="Re">'PRESSURE LOSS'!$C$18</definedName>
    <definedName name="Red_Beta">'PRESSURE LOSS'!$C$34</definedName>
    <definedName name="Rho">'PRESSURE LOSS'!$C$14</definedName>
    <definedName name="Total_K">'PRESSURE LOSS'!$C$68</definedName>
    <definedName name="W">'PRESSURE LOSS'!#REF!</definedName>
  </definedNames>
  <calcPr calcId="125725"/>
</workbook>
</file>

<file path=xl/calcChain.xml><?xml version="1.0" encoding="utf-8"?>
<calcChain xmlns="http://schemas.openxmlformats.org/spreadsheetml/2006/main">
  <c r="L20" i="1"/>
  <c r="K20"/>
  <c r="J20"/>
  <c r="I20"/>
  <c r="H20"/>
  <c r="G20"/>
  <c r="F20"/>
  <c r="E20"/>
  <c r="D20"/>
  <c r="G71"/>
  <c r="K50"/>
  <c r="J50"/>
  <c r="I50"/>
  <c r="H50"/>
  <c r="G50"/>
  <c r="K49"/>
  <c r="J49"/>
  <c r="I49"/>
  <c r="H49"/>
  <c r="G49"/>
  <c r="K48"/>
  <c r="J48"/>
  <c r="I48"/>
  <c r="H48"/>
  <c r="G48"/>
  <c r="L74"/>
  <c r="C14"/>
  <c r="C18" s="1"/>
  <c r="D14"/>
  <c r="D18" s="1"/>
  <c r="L14"/>
  <c r="K14"/>
  <c r="K18" s="1"/>
  <c r="K19" s="1"/>
  <c r="J14"/>
  <c r="I14"/>
  <c r="H14"/>
  <c r="G14"/>
  <c r="E14"/>
  <c r="E18" s="1"/>
  <c r="F14"/>
  <c r="C11"/>
  <c r="L11"/>
  <c r="L62" s="1"/>
  <c r="K11"/>
  <c r="K59" s="1"/>
  <c r="J11"/>
  <c r="I11"/>
  <c r="I46" s="1"/>
  <c r="H11"/>
  <c r="G11"/>
  <c r="G62" s="1"/>
  <c r="F11"/>
  <c r="F61" s="1"/>
  <c r="E11"/>
  <c r="D11"/>
  <c r="L71"/>
  <c r="K71"/>
  <c r="J71"/>
  <c r="I71"/>
  <c r="H71"/>
  <c r="F71"/>
  <c r="E71"/>
  <c r="D71"/>
  <c r="C71"/>
  <c r="C64"/>
  <c r="C63"/>
  <c r="C57"/>
  <c r="C56"/>
  <c r="L57"/>
  <c r="K57"/>
  <c r="J57"/>
  <c r="I57"/>
  <c r="H57"/>
  <c r="G57"/>
  <c r="F57"/>
  <c r="E57"/>
  <c r="D57"/>
  <c r="E44"/>
  <c r="C51"/>
  <c r="D51"/>
  <c r="E51"/>
  <c r="F51"/>
  <c r="G51"/>
  <c r="H51"/>
  <c r="I51"/>
  <c r="J51"/>
  <c r="K51"/>
  <c r="L51"/>
  <c r="C52"/>
  <c r="D52"/>
  <c r="E52"/>
  <c r="F52"/>
  <c r="G52"/>
  <c r="H52"/>
  <c r="I52"/>
  <c r="J52"/>
  <c r="K52"/>
  <c r="L52"/>
  <c r="C53"/>
  <c r="D53"/>
  <c r="E53"/>
  <c r="F53"/>
  <c r="G53"/>
  <c r="H53"/>
  <c r="I53"/>
  <c r="J53"/>
  <c r="K53"/>
  <c r="L53"/>
  <c r="C54"/>
  <c r="D54"/>
  <c r="E54"/>
  <c r="F54"/>
  <c r="G54"/>
  <c r="H54"/>
  <c r="I54"/>
  <c r="J54"/>
  <c r="K54"/>
  <c r="L54"/>
  <c r="C55"/>
  <c r="D55"/>
  <c r="E55"/>
  <c r="F55"/>
  <c r="G55"/>
  <c r="H55"/>
  <c r="I55"/>
  <c r="J55"/>
  <c r="K55"/>
  <c r="L55"/>
  <c r="D56"/>
  <c r="E56"/>
  <c r="F56"/>
  <c r="G56"/>
  <c r="H56"/>
  <c r="I56"/>
  <c r="J56"/>
  <c r="K56"/>
  <c r="L56"/>
  <c r="D63"/>
  <c r="E63"/>
  <c r="F63"/>
  <c r="G63"/>
  <c r="H63"/>
  <c r="I63"/>
  <c r="J63"/>
  <c r="K63"/>
  <c r="L63"/>
  <c r="D64"/>
  <c r="E64"/>
  <c r="F64"/>
  <c r="G64"/>
  <c r="H64"/>
  <c r="I64"/>
  <c r="J64"/>
  <c r="K64"/>
  <c r="L64"/>
  <c r="I44"/>
  <c r="I61"/>
  <c r="I60"/>
  <c r="I47"/>
  <c r="I62"/>
  <c r="I58"/>
  <c r="C50" l="1"/>
  <c r="C20"/>
  <c r="C49" s="1"/>
  <c r="D49"/>
  <c r="F44"/>
  <c r="C44"/>
  <c r="D50"/>
  <c r="D19"/>
  <c r="C19"/>
  <c r="C67" s="1"/>
  <c r="E48"/>
  <c r="D48"/>
  <c r="E49"/>
  <c r="E46"/>
  <c r="E50"/>
  <c r="C48"/>
  <c r="G18"/>
  <c r="G19" s="1"/>
  <c r="G67" s="1"/>
  <c r="F50"/>
  <c r="F49"/>
  <c r="F48"/>
  <c r="L58"/>
  <c r="L59"/>
  <c r="L48"/>
  <c r="L50"/>
  <c r="L47"/>
  <c r="L60"/>
  <c r="L44"/>
  <c r="L45"/>
  <c r="L46"/>
  <c r="L49"/>
  <c r="L61"/>
  <c r="I18"/>
  <c r="I19" s="1"/>
  <c r="I67" s="1"/>
  <c r="H18"/>
  <c r="H19" s="1"/>
  <c r="H67" s="1"/>
  <c r="H61"/>
  <c r="H45"/>
  <c r="H60"/>
  <c r="H44"/>
  <c r="H59"/>
  <c r="H46"/>
  <c r="H62"/>
  <c r="H58"/>
  <c r="H47"/>
  <c r="J62"/>
  <c r="J58"/>
  <c r="J47"/>
  <c r="J46"/>
  <c r="J61"/>
  <c r="J45"/>
  <c r="J60"/>
  <c r="J44"/>
  <c r="J59"/>
  <c r="K45"/>
  <c r="K44"/>
  <c r="K60"/>
  <c r="K67"/>
  <c r="K61"/>
  <c r="K46"/>
  <c r="K47"/>
  <c r="K58"/>
  <c r="K62"/>
  <c r="I45"/>
  <c r="I59"/>
  <c r="G46"/>
  <c r="G45"/>
  <c r="G44"/>
  <c r="G47"/>
  <c r="G58"/>
  <c r="G59"/>
  <c r="G60"/>
  <c r="G61"/>
  <c r="F60"/>
  <c r="F47"/>
  <c r="F58"/>
  <c r="F62"/>
  <c r="F46"/>
  <c r="F59"/>
  <c r="F45"/>
  <c r="E58"/>
  <c r="E47"/>
  <c r="E61"/>
  <c r="E60"/>
  <c r="E45"/>
  <c r="E19"/>
  <c r="E67" s="1"/>
  <c r="E59"/>
  <c r="E62"/>
  <c r="D60"/>
  <c r="D46"/>
  <c r="L18"/>
  <c r="L19" s="1"/>
  <c r="L67" s="1"/>
  <c r="J18"/>
  <c r="J19" s="1"/>
  <c r="J67" s="1"/>
  <c r="D67"/>
  <c r="F18"/>
  <c r="F19" s="1"/>
  <c r="F67" s="1"/>
  <c r="D45"/>
  <c r="D61"/>
  <c r="D62"/>
  <c r="D47"/>
  <c r="D44"/>
  <c r="D59"/>
  <c r="D58"/>
  <c r="C59"/>
  <c r="C61"/>
  <c r="C45"/>
  <c r="C62"/>
  <c r="C47"/>
  <c r="C60"/>
  <c r="C46"/>
  <c r="C58"/>
  <c r="G68" l="1"/>
  <c r="G70" s="1"/>
  <c r="L68"/>
  <c r="L70" s="1"/>
  <c r="K68"/>
  <c r="K70" s="1"/>
  <c r="K74" s="1"/>
  <c r="I68"/>
  <c r="I70" s="1"/>
  <c r="I74" s="1"/>
  <c r="J68"/>
  <c r="J70" s="1"/>
  <c r="J74" s="1"/>
  <c r="H68"/>
  <c r="H70" s="1"/>
  <c r="H74" s="1"/>
  <c r="F68"/>
  <c r="F70" s="1"/>
  <c r="F74" s="1"/>
  <c r="E68"/>
  <c r="E70" s="1"/>
  <c r="E74" s="1"/>
  <c r="C68"/>
  <c r="D68"/>
  <c r="D70" s="1"/>
  <c r="D74" s="1"/>
  <c r="G74" l="1"/>
  <c r="C70"/>
  <c r="C74" s="1"/>
</calcChain>
</file>

<file path=xl/sharedStrings.xml><?xml version="1.0" encoding="utf-8"?>
<sst xmlns="http://schemas.openxmlformats.org/spreadsheetml/2006/main" count="152" uniqueCount="141">
  <si>
    <t>Project</t>
  </si>
  <si>
    <t>LINE NUMBER</t>
  </si>
  <si>
    <t>LINE SIZE</t>
  </si>
  <si>
    <t>PIPE ID inches</t>
  </si>
  <si>
    <t>Velocity  ft/sec</t>
  </si>
  <si>
    <t xml:space="preserve">    Plug Valves</t>
  </si>
  <si>
    <t xml:space="preserve">    Gate Valves</t>
  </si>
  <si>
    <t xml:space="preserve">    Swing Check Valves</t>
  </si>
  <si>
    <t xml:space="preserve">    Globe Valves</t>
  </si>
  <si>
    <t xml:space="preserve">    Globe Valves Y type</t>
  </si>
  <si>
    <t xml:space="preserve">    90 deg Ells LR</t>
  </si>
  <si>
    <t xml:space="preserve">    90 deg Ells Std</t>
  </si>
  <si>
    <t xml:space="preserve">    45 deg Ells</t>
  </si>
  <si>
    <t xml:space="preserve">    Tees thru branch</t>
  </si>
  <si>
    <t xml:space="preserve">    Tees straight run</t>
  </si>
  <si>
    <t>TOTAL DELTA P   psi</t>
  </si>
  <si>
    <t>for Pipe K calculations</t>
  </si>
  <si>
    <r>
      <t>Note, in calculatins, use f</t>
    </r>
    <r>
      <rPr>
        <vertAlign val="subscript"/>
        <sz val="12"/>
        <color indexed="10"/>
        <rFont val="Arial"/>
        <family val="2"/>
      </rPr>
      <t>T</t>
    </r>
    <r>
      <rPr>
        <sz val="12"/>
        <color indexed="10"/>
        <rFont val="Arial"/>
        <family val="2"/>
      </rPr>
      <t xml:space="preserve"> for fitting K</t>
    </r>
  </si>
  <si>
    <t xml:space="preserve">    Cv Valve 1</t>
  </si>
  <si>
    <t xml:space="preserve">    Cv Valve 2</t>
  </si>
  <si>
    <t xml:space="preserve">    Cv Valve 3</t>
  </si>
  <si>
    <t xml:space="preserve">    Cv Valve 4</t>
  </si>
  <si>
    <t xml:space="preserve">    Cv Valve 5</t>
  </si>
  <si>
    <t xml:space="preserve">    Butterfly valves</t>
  </si>
  <si>
    <t xml:space="preserve">    Reducer</t>
  </si>
  <si>
    <t xml:space="preserve">    Expander</t>
  </si>
  <si>
    <t>K factor VALVES &amp; FITTINGS</t>
  </si>
  <si>
    <t xml:space="preserve">    Valve 1</t>
  </si>
  <si>
    <t xml:space="preserve">    Valve 2</t>
  </si>
  <si>
    <t xml:space="preserve">    Valve 3</t>
  </si>
  <si>
    <t xml:space="preserve">    Valve 4</t>
  </si>
  <si>
    <t xml:space="preserve">    Valve 5</t>
  </si>
  <si>
    <t xml:space="preserve">    # of Plug Valves</t>
  </si>
  <si>
    <t xml:space="preserve">    # of Gate Valves</t>
  </si>
  <si>
    <t xml:space="preserve">    # of Swing Check Valves</t>
  </si>
  <si>
    <t xml:space="preserve">    # of Globe Valves</t>
  </si>
  <si>
    <t xml:space="preserve">    # of Globe Valves Y type</t>
  </si>
  <si>
    <t xml:space="preserve">    # of Butterfly valves</t>
  </si>
  <si>
    <t xml:space="preserve">     Smaller Dia/Larger Dia of Expander</t>
  </si>
  <si>
    <t xml:space="preserve">    Calculated Density lb/ft3</t>
  </si>
  <si>
    <t xml:space="preserve">    Entrance</t>
  </si>
  <si>
    <t xml:space="preserve">    Exit</t>
  </si>
  <si>
    <t xml:space="preserve">    # of 90 deg Ells LR</t>
  </si>
  <si>
    <t xml:space="preserve">    # of 90 deg Ells Std</t>
  </si>
  <si>
    <t xml:space="preserve">    # of 45 deg Ells</t>
  </si>
  <si>
    <t xml:space="preserve">    # of Tees thru branch</t>
  </si>
  <si>
    <t xml:space="preserve">    # of Tees straight run</t>
  </si>
  <si>
    <t xml:space="preserve">    # of Exits</t>
  </si>
  <si>
    <t xml:space="preserve">     Smaller Dia/Larger Dia of Reducer</t>
  </si>
  <si>
    <t xml:space="preserve">    K factor of additional equipment</t>
  </si>
  <si>
    <t xml:space="preserve">    # of sharp edgeed Entrances </t>
  </si>
  <si>
    <t>K factor of PIPE</t>
  </si>
  <si>
    <t>VALVE AND FITTING TAKEOFF</t>
  </si>
  <si>
    <t>Intermediate calculations</t>
  </si>
  <si>
    <t>Final results</t>
  </si>
  <si>
    <t>L</t>
  </si>
  <si>
    <t>Q</t>
  </si>
  <si>
    <t>G</t>
  </si>
  <si>
    <t>Re</t>
  </si>
  <si>
    <t>f</t>
  </si>
  <si>
    <t>f_T</t>
  </si>
  <si>
    <t>No_of_Ball</t>
  </si>
  <si>
    <t>No_of_Plug</t>
  </si>
  <si>
    <t>No_of_Gate</t>
  </si>
  <si>
    <t>No_of_Check</t>
  </si>
  <si>
    <t>No_of_Globe</t>
  </si>
  <si>
    <t>No_of_Y_Globe</t>
  </si>
  <si>
    <t>No_of_BF</t>
  </si>
  <si>
    <t>Red_Beta</t>
  </si>
  <si>
    <t>Epsilon</t>
  </si>
  <si>
    <t>Rho</t>
  </si>
  <si>
    <t>Exp_Beta</t>
  </si>
  <si>
    <t>No_of_LR_90L</t>
  </si>
  <si>
    <t>No_of_Std_90L</t>
  </si>
  <si>
    <t>No_of_45L</t>
  </si>
  <si>
    <t>No_of_T_Brnch</t>
  </si>
  <si>
    <t>No_of_T_Strt</t>
  </si>
  <si>
    <t>No_of_Entrance</t>
  </si>
  <si>
    <t>No_of_Exit</t>
  </si>
  <si>
    <t xml:space="preserve">    Reynolds Number</t>
  </si>
  <si>
    <t xml:space="preserve">    f, Friction Factor at given flow</t>
  </si>
  <si>
    <r>
      <t xml:space="preserve">    f</t>
    </r>
    <r>
      <rPr>
        <vertAlign val="subscript"/>
        <sz val="12"/>
        <rFont val="Arial"/>
        <family val="2"/>
      </rPr>
      <t>T</t>
    </r>
    <r>
      <rPr>
        <sz val="12"/>
        <rFont val="Arial"/>
        <family val="2"/>
      </rPr>
      <t xml:space="preserve"> (fully turb Friction Factor)</t>
    </r>
  </si>
  <si>
    <t>Cv_Valve_1</t>
  </si>
  <si>
    <t>Cv_Valve_2</t>
  </si>
  <si>
    <t>Cv_Valve_3</t>
  </si>
  <si>
    <t>Cv_Valve_4</t>
  </si>
  <si>
    <t>Cv_Valve_5</t>
  </si>
  <si>
    <t>d_in</t>
  </si>
  <si>
    <t>D_ft</t>
  </si>
  <si>
    <t>ABSOLUTE ROUGHNESS of pipe wall, ft</t>
  </si>
  <si>
    <t>LIQUID SPECIFIC GRAVITY</t>
  </si>
  <si>
    <t xml:space="preserve">   Calculated PIPE ID, feet</t>
  </si>
  <si>
    <t>PIPE LENGTH, ft</t>
  </si>
  <si>
    <t>FLOW RATE,  gpm</t>
  </si>
  <si>
    <t>TOTAL K FACTOR OF SYSEM</t>
  </si>
  <si>
    <t>Delta_P</t>
  </si>
  <si>
    <t>P_1</t>
  </si>
  <si>
    <t>Delta_h</t>
  </si>
  <si>
    <t>P_2</t>
  </si>
  <si>
    <t>Upstream pressure,  psi</t>
  </si>
  <si>
    <t>Downstream pressure,  psi</t>
  </si>
  <si>
    <t>Change in elevation, ft</t>
  </si>
  <si>
    <t>ABSOLUTE VISCOSITY, cp</t>
  </si>
  <si>
    <t>Mu</t>
  </si>
  <si>
    <t xml:space="preserve">The following statement about the Haaland </t>
  </si>
  <si>
    <t>equation for the friction factor used in this worksheet</t>
  </si>
  <si>
    <t>"Darcy friction factor formulae"</t>
  </si>
  <si>
    <t>Total_K</t>
  </si>
  <si>
    <t xml:space="preserve">This worksheet is distributed at no cost on an as-is basis. </t>
  </si>
  <si>
    <t>The author does not assume any liability for its use.</t>
  </si>
  <si>
    <t>LIQUID PRESSURE LOSS IN PIPES, VALVES AND FITTINGS</t>
  </si>
  <si>
    <t>calculations and  f at given flow</t>
  </si>
  <si>
    <t xml:space="preserve">    Ball Valves (Standard port)</t>
  </si>
  <si>
    <t>was taken from the Wikipedia aritcle on</t>
  </si>
  <si>
    <t>OPTIONAL CALC OF DOWNSTREAM PRESSURE</t>
  </si>
  <si>
    <t>Required data input</t>
  </si>
  <si>
    <t>Optional data input</t>
  </si>
  <si>
    <t xml:space="preserve">    # of Standard Port Ball Valves</t>
  </si>
  <si>
    <t>JFM R4 P</t>
  </si>
  <si>
    <r>
      <t xml:space="preserve">Cv Table </t>
    </r>
    <r>
      <rPr>
        <sz val="14"/>
        <color theme="1"/>
        <rFont val="Arial"/>
        <family val="2"/>
      </rPr>
      <t>(Fullly open isolation valves)</t>
    </r>
  </si>
  <si>
    <t>VELAN VALVES</t>
  </si>
  <si>
    <t>DEMCO</t>
  </si>
  <si>
    <t>AMRI ISORIA</t>
  </si>
  <si>
    <t>AMRI ACRIS</t>
  </si>
  <si>
    <t>JAMESBURY</t>
  </si>
  <si>
    <t>NELES</t>
  </si>
  <si>
    <t>FluoroSeal</t>
  </si>
  <si>
    <t>ELASTOMER LINED</t>
  </si>
  <si>
    <t>PFA LINED</t>
  </si>
  <si>
    <t>SOFT SEATED</t>
  </si>
  <si>
    <t>METAL SEATED</t>
  </si>
  <si>
    <t>INCH</t>
  </si>
  <si>
    <t>GATE</t>
  </si>
  <si>
    <t>GLOBE</t>
  </si>
  <si>
    <t>CHECK</t>
  </si>
  <si>
    <t>BUTTERFLY</t>
  </si>
  <si>
    <t>STD. PORT BALL</t>
  </si>
  <si>
    <t>150# HP BUTTERFLY</t>
  </si>
  <si>
    <t>300# HP BUTTERFLY</t>
  </si>
  <si>
    <t>2-Way Plug</t>
  </si>
  <si>
    <t>HP = High performance</t>
  </si>
</sst>
</file>

<file path=xl/styles.xml><?xml version="1.0" encoding="utf-8"?>
<styleSheet xmlns="http://schemas.openxmlformats.org/spreadsheetml/2006/main">
  <numFmts count="7">
    <numFmt numFmtId="164" formatCode="mm/dd/yyyy"/>
    <numFmt numFmtId="165" formatCode="0.0"/>
    <numFmt numFmtId="166" formatCode="0.000"/>
    <numFmt numFmtId="167" formatCode="#,##0.0"/>
    <numFmt numFmtId="168" formatCode="0.00000000"/>
    <numFmt numFmtId="169" formatCode="###0;###0"/>
    <numFmt numFmtId="170" formatCode="#,##0;#,##0"/>
  </numFmts>
  <fonts count="27">
    <font>
      <sz val="12"/>
      <name val="Arial"/>
    </font>
    <font>
      <sz val="12"/>
      <name val="Arial"/>
      <family val="2"/>
    </font>
    <font>
      <sz val="12"/>
      <name val="Arial"/>
      <family val="2"/>
    </font>
    <font>
      <sz val="12"/>
      <color indexed="10"/>
      <name val="Arial"/>
      <family val="2"/>
    </font>
    <font>
      <vertAlign val="subscript"/>
      <sz val="12"/>
      <color indexed="10"/>
      <name val="Arial"/>
      <family val="2"/>
    </font>
    <font>
      <sz val="12"/>
      <name val="Arial"/>
      <family val="2"/>
    </font>
    <font>
      <vertAlign val="subscript"/>
      <sz val="12"/>
      <name val="Arial"/>
      <family val="2"/>
    </font>
    <font>
      <b/>
      <sz val="10"/>
      <name val="Arial"/>
      <family val="2"/>
    </font>
    <font>
      <b/>
      <sz val="12"/>
      <name val="Arial"/>
      <family val="2"/>
    </font>
    <font>
      <sz val="10"/>
      <name val="Arial"/>
      <family val="2"/>
    </font>
    <font>
      <sz val="10"/>
      <color rgb="FF006100"/>
      <name val="Arial"/>
      <family val="2"/>
    </font>
    <font>
      <sz val="12"/>
      <color rgb="FFFF0000"/>
      <name val="Arial"/>
      <family val="2"/>
    </font>
    <font>
      <sz val="12"/>
      <color rgb="FF202A8C"/>
      <name val="Arial"/>
      <family val="2"/>
    </font>
    <font>
      <b/>
      <sz val="12"/>
      <color rgb="FFFF0000"/>
      <name val="Arial"/>
      <family val="2"/>
    </font>
    <font>
      <b/>
      <sz val="14"/>
      <color rgb="FF000099"/>
      <name val="Arial"/>
      <family val="2"/>
    </font>
    <font>
      <sz val="12"/>
      <color rgb="FF006100"/>
      <name val="Arial"/>
      <family val="2"/>
    </font>
    <font>
      <b/>
      <sz val="12"/>
      <color rgb="FF202A8C"/>
      <name val="Arial"/>
      <family val="2"/>
    </font>
    <font>
      <b/>
      <sz val="14"/>
      <name val="Arial"/>
      <family val="2"/>
    </font>
    <font>
      <b/>
      <sz val="11"/>
      <name val="Arial"/>
      <family val="2"/>
    </font>
    <font>
      <b/>
      <sz val="11"/>
      <color rgb="FFFF0000"/>
      <name val="Arial"/>
      <family val="2"/>
    </font>
    <font>
      <sz val="11"/>
      <name val="Arial"/>
      <family val="2"/>
    </font>
    <font>
      <b/>
      <sz val="16"/>
      <color theme="1"/>
      <name val="Arial"/>
      <family val="2"/>
    </font>
    <font>
      <sz val="14"/>
      <color theme="1"/>
      <name val="Arial"/>
      <family val="2"/>
    </font>
    <font>
      <sz val="7"/>
      <color theme="1"/>
      <name val="Arial"/>
      <family val="2"/>
    </font>
    <font>
      <sz val="9"/>
      <color rgb="FF000000"/>
      <name val="Arial"/>
      <family val="2"/>
    </font>
    <font>
      <sz val="12"/>
      <color theme="1"/>
      <name val="Arial"/>
      <family val="2"/>
    </font>
    <font>
      <sz val="12"/>
      <color rgb="FF000000"/>
      <name val="Arial"/>
      <family val="2"/>
    </font>
  </fonts>
  <fills count="9">
    <fill>
      <patternFill patternType="none"/>
    </fill>
    <fill>
      <patternFill patternType="gray125"/>
    </fill>
    <fill>
      <patternFill patternType="solid">
        <fgColor rgb="FFC6EFCE"/>
      </patternFill>
    </fill>
    <fill>
      <patternFill patternType="solid">
        <fgColor rgb="FFFFFFCC"/>
      </patternFill>
    </fill>
    <fill>
      <patternFill patternType="solid">
        <fgColor theme="8" tint="0.39994506668294322"/>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66FF66"/>
        <bgColor indexed="64"/>
      </patternFill>
    </fill>
    <fill>
      <patternFill patternType="solid">
        <fgColor rgb="FFFFFFFF"/>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thin">
        <color rgb="FFB2B2B2"/>
      </left>
      <right style="thin">
        <color rgb="FFB2B2B2"/>
      </right>
      <top style="thin">
        <color rgb="FFB2B2B2"/>
      </top>
      <bottom style="thin">
        <color rgb="FFB2B2B2"/>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rgb="FFB2B2B2"/>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thin">
        <color auto="1"/>
      </right>
      <top style="medium">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3">
    <xf numFmtId="0" fontId="0" fillId="0" borderId="0"/>
    <xf numFmtId="0" fontId="10" fillId="2" borderId="0" applyNumberFormat="0" applyBorder="0" applyAlignment="0" applyProtection="0"/>
    <xf numFmtId="0" fontId="1" fillId="3" borderId="6" applyNumberFormat="0" applyFont="0" applyAlignment="0" applyProtection="0"/>
  </cellStyleXfs>
  <cellXfs count="142">
    <xf numFmtId="0" fontId="0" fillId="0" borderId="0" xfId="0"/>
    <xf numFmtId="0" fontId="1" fillId="0" borderId="0" xfId="0" applyNumberFormat="1" applyFont="1" applyAlignment="1"/>
    <xf numFmtId="0" fontId="0" fillId="0" borderId="0" xfId="0" applyNumberFormat="1" applyAlignment="1"/>
    <xf numFmtId="0" fontId="11" fillId="0" borderId="0" xfId="0" applyNumberFormat="1" applyFont="1" applyAlignment="1"/>
    <xf numFmtId="0" fontId="5" fillId="0" borderId="0" xfId="0" applyNumberFormat="1" applyFont="1" applyAlignment="1"/>
    <xf numFmtId="0" fontId="1" fillId="0" borderId="0" xfId="0" applyNumberFormat="1" applyFont="1" applyAlignment="1">
      <alignment vertical="center"/>
    </xf>
    <xf numFmtId="0" fontId="11" fillId="0" borderId="0" xfId="0" applyNumberFormat="1" applyFont="1" applyAlignment="1">
      <alignment vertical="center"/>
    </xf>
    <xf numFmtId="168" fontId="11" fillId="0" borderId="0" xfId="0" applyNumberFormat="1" applyFont="1" applyAlignment="1" applyProtection="1">
      <alignment vertical="center"/>
      <protection locked="0"/>
    </xf>
    <xf numFmtId="0" fontId="13" fillId="0" borderId="0" xfId="0" applyFont="1"/>
    <xf numFmtId="0" fontId="14" fillId="0" borderId="1" xfId="0" applyNumberFormat="1" applyFont="1" applyBorder="1" applyAlignment="1"/>
    <xf numFmtId="0" fontId="0" fillId="0" borderId="2" xfId="0" applyNumberFormat="1" applyBorder="1" applyAlignment="1"/>
    <xf numFmtId="0" fontId="1" fillId="0" borderId="2" xfId="0" applyNumberFormat="1" applyFont="1" applyBorder="1" applyAlignment="1"/>
    <xf numFmtId="0" fontId="0" fillId="0" borderId="2" xfId="0" applyNumberFormat="1" applyBorder="1" applyAlignment="1" applyProtection="1">
      <protection locked="0"/>
    </xf>
    <xf numFmtId="0" fontId="1" fillId="0" borderId="3" xfId="0" applyNumberFormat="1" applyFont="1" applyBorder="1" applyAlignment="1"/>
    <xf numFmtId="0" fontId="2" fillId="0" borderId="5" xfId="0" applyNumberFormat="1" applyFont="1" applyBorder="1" applyAlignment="1" applyProtection="1">
      <alignment vertical="center"/>
      <protection locked="0"/>
    </xf>
    <xf numFmtId="0" fontId="2" fillId="0" borderId="0" xfId="0" applyNumberFormat="1" applyFont="1" applyBorder="1" applyAlignment="1" applyProtection="1">
      <protection locked="0"/>
    </xf>
    <xf numFmtId="0" fontId="1" fillId="0" borderId="0" xfId="0" applyNumberFormat="1" applyFont="1" applyBorder="1" applyProtection="1">
      <protection locked="0"/>
    </xf>
    <xf numFmtId="0" fontId="1" fillId="0" borderId="5" xfId="0" applyNumberFormat="1" applyFont="1" applyBorder="1" applyProtection="1">
      <protection locked="0"/>
    </xf>
    <xf numFmtId="164" fontId="1" fillId="0" borderId="0" xfId="0" applyNumberFormat="1" applyFont="1" applyBorder="1" applyProtection="1">
      <protection locked="0"/>
    </xf>
    <xf numFmtId="0" fontId="1" fillId="0" borderId="5" xfId="0" applyNumberFormat="1" applyFont="1" applyBorder="1" applyAlignment="1" applyProtection="1">
      <protection locked="0"/>
    </xf>
    <xf numFmtId="0" fontId="1" fillId="0" borderId="0" xfId="0" applyNumberFormat="1" applyFont="1" applyBorder="1" applyAlignment="1" applyProtection="1">
      <protection locked="0"/>
    </xf>
    <xf numFmtId="0" fontId="0" fillId="0" borderId="0" xfId="0" applyBorder="1" applyProtection="1">
      <protection locked="0"/>
    </xf>
    <xf numFmtId="0" fontId="0" fillId="0" borderId="0" xfId="0" applyNumberFormat="1" applyBorder="1" applyAlignment="1" applyProtection="1">
      <protection locked="0"/>
    </xf>
    <xf numFmtId="0" fontId="1" fillId="0" borderId="7" xfId="0" applyNumberFormat="1" applyFont="1" applyBorder="1" applyAlignment="1" applyProtection="1">
      <alignment horizontal="fill"/>
      <protection locked="0"/>
    </xf>
    <xf numFmtId="0" fontId="2" fillId="0" borderId="8" xfId="0" applyNumberFormat="1" applyFont="1" applyBorder="1" applyAlignment="1" applyProtection="1">
      <alignment horizontal="fill"/>
      <protection locked="0"/>
    </xf>
    <xf numFmtId="0" fontId="2" fillId="0" borderId="8" xfId="0" applyNumberFormat="1" applyFont="1" applyBorder="1" applyAlignment="1">
      <alignment horizontal="fill"/>
    </xf>
    <xf numFmtId="0" fontId="2" fillId="0" borderId="9" xfId="0" applyNumberFormat="1" applyFont="1" applyBorder="1" applyAlignment="1">
      <alignment horizontal="fill"/>
    </xf>
    <xf numFmtId="0" fontId="1" fillId="6" borderId="5" xfId="0" applyNumberFormat="1" applyFont="1" applyFill="1" applyBorder="1" applyAlignment="1"/>
    <xf numFmtId="0" fontId="1" fillId="6" borderId="0" xfId="0" applyNumberFormat="1" applyFont="1" applyFill="1" applyBorder="1" applyAlignment="1"/>
    <xf numFmtId="0" fontId="2" fillId="0" borderId="11" xfId="0" applyNumberFormat="1" applyFont="1" applyBorder="1" applyAlignment="1" applyProtection="1">
      <alignment horizontal="right"/>
      <protection locked="0"/>
    </xf>
    <xf numFmtId="0" fontId="1" fillId="0" borderId="11" xfId="0" applyNumberFormat="1" applyFont="1" applyBorder="1" applyProtection="1">
      <protection locked="0"/>
    </xf>
    <xf numFmtId="0" fontId="1" fillId="0" borderId="12" xfId="0" applyNumberFormat="1" applyFont="1" applyBorder="1" applyProtection="1">
      <protection locked="0"/>
    </xf>
    <xf numFmtId="0" fontId="5" fillId="6" borderId="11" xfId="0" applyNumberFormat="1" applyFont="1" applyFill="1" applyBorder="1" applyAlignment="1">
      <alignment vertical="center"/>
    </xf>
    <xf numFmtId="0" fontId="1" fillId="4" borderId="11" xfId="1" applyNumberFormat="1" applyFont="1" applyFill="1" applyBorder="1" applyAlignment="1" applyProtection="1">
      <alignment vertical="center"/>
      <protection locked="0"/>
    </xf>
    <xf numFmtId="0" fontId="1" fillId="4" borderId="11" xfId="1" applyFont="1" applyFill="1" applyBorder="1" applyAlignment="1" applyProtection="1">
      <alignment vertical="center"/>
      <protection locked="0"/>
    </xf>
    <xf numFmtId="0" fontId="5" fillId="4" borderId="11" xfId="1" applyNumberFormat="1" applyFont="1" applyFill="1" applyBorder="1" applyAlignment="1" applyProtection="1">
      <alignment vertical="center"/>
      <protection locked="0"/>
    </xf>
    <xf numFmtId="0" fontId="5" fillId="4" borderId="11" xfId="1" applyFont="1" applyFill="1" applyBorder="1" applyAlignment="1" applyProtection="1">
      <alignment vertical="center"/>
      <protection locked="0"/>
    </xf>
    <xf numFmtId="0" fontId="5" fillId="4" borderId="12" xfId="1" applyFont="1" applyFill="1" applyBorder="1" applyAlignment="1" applyProtection="1">
      <alignment vertical="center"/>
      <protection locked="0"/>
    </xf>
    <xf numFmtId="166" fontId="5" fillId="0" borderId="11" xfId="0" applyNumberFormat="1" applyFont="1" applyBorder="1" applyAlignment="1">
      <alignment vertical="center"/>
    </xf>
    <xf numFmtId="166" fontId="5" fillId="0" borderId="12" xfId="0" applyNumberFormat="1" applyFont="1" applyBorder="1" applyAlignment="1">
      <alignment vertical="center"/>
    </xf>
    <xf numFmtId="0" fontId="5" fillId="4" borderId="12" xfId="1" applyNumberFormat="1" applyFont="1" applyFill="1" applyBorder="1" applyAlignment="1" applyProtection="1">
      <alignment vertical="center"/>
      <protection locked="0"/>
    </xf>
    <xf numFmtId="0" fontId="5" fillId="0" borderId="11" xfId="0" applyFont="1" applyBorder="1" applyAlignment="1">
      <alignment vertical="center"/>
    </xf>
    <xf numFmtId="0" fontId="5" fillId="0" borderId="12" xfId="0" applyFont="1" applyBorder="1" applyAlignment="1">
      <alignment vertical="center"/>
    </xf>
    <xf numFmtId="167" fontId="1" fillId="4" borderId="11" xfId="1" applyNumberFormat="1" applyFont="1" applyFill="1" applyBorder="1" applyAlignment="1" applyProtection="1">
      <alignment vertical="center"/>
      <protection locked="0"/>
    </xf>
    <xf numFmtId="167" fontId="5" fillId="4" borderId="11" xfId="1" applyNumberFormat="1" applyFont="1" applyFill="1" applyBorder="1" applyAlignment="1" applyProtection="1">
      <alignment vertical="center"/>
      <protection locked="0"/>
    </xf>
    <xf numFmtId="167" fontId="5" fillId="4" borderId="12" xfId="1" applyNumberFormat="1" applyFont="1" applyFill="1" applyBorder="1" applyAlignment="1" applyProtection="1">
      <alignment vertical="center"/>
      <protection locked="0"/>
    </xf>
    <xf numFmtId="3" fontId="5" fillId="0" borderId="11" xfId="0" applyNumberFormat="1" applyFont="1" applyBorder="1" applyAlignment="1">
      <alignment vertical="center"/>
    </xf>
    <xf numFmtId="3" fontId="5" fillId="0" borderId="12" xfId="0" applyNumberFormat="1" applyFont="1" applyBorder="1" applyAlignment="1">
      <alignment vertical="center"/>
    </xf>
    <xf numFmtId="166" fontId="1" fillId="0" borderId="11" xfId="0" applyNumberFormat="1" applyFont="1" applyBorder="1" applyAlignment="1">
      <alignment vertical="center"/>
    </xf>
    <xf numFmtId="2" fontId="7" fillId="5" borderId="11" xfId="2" applyNumberFormat="1" applyFont="1" applyFill="1" applyBorder="1" applyAlignment="1">
      <alignment vertical="center"/>
    </xf>
    <xf numFmtId="2" fontId="7" fillId="5" borderId="12" xfId="2" applyNumberFormat="1" applyFont="1" applyFill="1" applyBorder="1" applyAlignment="1">
      <alignment vertical="center"/>
    </xf>
    <xf numFmtId="165" fontId="7" fillId="5" borderId="11" xfId="2" applyNumberFormat="1" applyFont="1" applyFill="1" applyBorder="1" applyAlignment="1">
      <alignment vertical="center"/>
    </xf>
    <xf numFmtId="165" fontId="7" fillId="5" borderId="12" xfId="2" applyNumberFormat="1" applyFont="1" applyFill="1" applyBorder="1" applyAlignment="1">
      <alignment vertical="center"/>
    </xf>
    <xf numFmtId="2" fontId="8" fillId="5" borderId="14" xfId="0" applyNumberFormat="1" applyFont="1" applyFill="1" applyBorder="1" applyAlignment="1">
      <alignment vertical="center"/>
    </xf>
    <xf numFmtId="2" fontId="8" fillId="5" borderId="15" xfId="0" applyNumberFormat="1" applyFont="1" applyFill="1" applyBorder="1" applyAlignment="1">
      <alignment vertical="center"/>
    </xf>
    <xf numFmtId="0" fontId="5" fillId="7" borderId="11" xfId="0" applyNumberFormat="1" applyFont="1" applyFill="1" applyBorder="1" applyAlignment="1" applyProtection="1">
      <alignment vertical="center"/>
      <protection locked="0"/>
    </xf>
    <xf numFmtId="2" fontId="1" fillId="7" borderId="11" xfId="0" applyNumberFormat="1" applyFont="1" applyFill="1" applyBorder="1" applyAlignment="1" applyProtection="1">
      <alignment vertical="center"/>
      <protection locked="0"/>
    </xf>
    <xf numFmtId="0" fontId="5" fillId="7" borderId="12" xfId="0" applyNumberFormat="1" applyFont="1" applyFill="1" applyBorder="1" applyAlignment="1" applyProtection="1">
      <alignment vertical="center"/>
      <protection locked="0"/>
    </xf>
    <xf numFmtId="0" fontId="9" fillId="7" borderId="11" xfId="1" applyFont="1" applyFill="1" applyBorder="1" applyAlignment="1" applyProtection="1">
      <alignment vertical="center"/>
      <protection locked="0"/>
    </xf>
    <xf numFmtId="0" fontId="9" fillId="7" borderId="12" xfId="1" applyFont="1" applyFill="1" applyBorder="1" applyAlignment="1" applyProtection="1">
      <alignment vertical="center"/>
      <protection locked="0"/>
    </xf>
    <xf numFmtId="0" fontId="1" fillId="7" borderId="11" xfId="1" applyFont="1" applyFill="1" applyBorder="1" applyAlignment="1" applyProtection="1">
      <alignment vertical="center"/>
      <protection locked="0"/>
    </xf>
    <xf numFmtId="0" fontId="5" fillId="7" borderId="11" xfId="1" applyFont="1" applyFill="1" applyBorder="1" applyAlignment="1" applyProtection="1">
      <alignment vertical="center"/>
      <protection locked="0"/>
    </xf>
    <xf numFmtId="0" fontId="5" fillId="7" borderId="12" xfId="1" applyFont="1" applyFill="1" applyBorder="1" applyAlignment="1" applyProtection="1">
      <alignment vertical="center"/>
      <protection locked="0"/>
    </xf>
    <xf numFmtId="0" fontId="1" fillId="6" borderId="0" xfId="0" applyNumberFormat="1" applyFont="1" applyFill="1" applyBorder="1" applyAlignment="1" applyProtection="1">
      <protection locked="0"/>
    </xf>
    <xf numFmtId="0" fontId="1" fillId="6" borderId="4" xfId="0" applyNumberFormat="1" applyFont="1" applyFill="1" applyBorder="1" applyAlignment="1" applyProtection="1">
      <protection locked="0"/>
    </xf>
    <xf numFmtId="0" fontId="5" fillId="6" borderId="12" xfId="0" applyNumberFormat="1" applyFont="1" applyFill="1" applyBorder="1" applyAlignment="1">
      <alignment vertical="center"/>
    </xf>
    <xf numFmtId="0" fontId="1" fillId="6" borderId="0" xfId="0" applyNumberFormat="1" applyFont="1" applyFill="1" applyAlignment="1"/>
    <xf numFmtId="0" fontId="17" fillId="0" borderId="0" xfId="0" applyFont="1" applyAlignment="1">
      <alignment horizontal="center"/>
    </xf>
    <xf numFmtId="0" fontId="18" fillId="0" borderId="0" xfId="0" applyFont="1"/>
    <xf numFmtId="0" fontId="19" fillId="0" borderId="0" xfId="0" applyFont="1"/>
    <xf numFmtId="0" fontId="20" fillId="0" borderId="0" xfId="0" applyFont="1"/>
    <xf numFmtId="0" fontId="2" fillId="6" borderId="10" xfId="0" applyNumberFormat="1" applyFont="1" applyFill="1" applyBorder="1" applyAlignment="1" applyProtection="1">
      <alignment vertical="center"/>
    </xf>
    <xf numFmtId="0" fontId="2" fillId="6" borderId="11" xfId="0" applyNumberFormat="1" applyFont="1" applyFill="1" applyBorder="1" applyAlignment="1" applyProtection="1"/>
    <xf numFmtId="0" fontId="5" fillId="6" borderId="11" xfId="0" applyNumberFormat="1" applyFont="1" applyFill="1" applyBorder="1" applyAlignment="1" applyProtection="1">
      <alignment vertical="center"/>
    </xf>
    <xf numFmtId="0" fontId="5" fillId="6" borderId="10" xfId="0" applyNumberFormat="1" applyFont="1" applyFill="1" applyBorder="1" applyAlignment="1" applyProtection="1">
      <alignment vertical="center"/>
    </xf>
    <xf numFmtId="0" fontId="0" fillId="6" borderId="10" xfId="0" applyNumberFormat="1" applyFill="1" applyBorder="1" applyAlignment="1" applyProtection="1">
      <alignment vertical="center"/>
    </xf>
    <xf numFmtId="0" fontId="0" fillId="6" borderId="11" xfId="0" applyNumberFormat="1" applyFill="1" applyBorder="1" applyAlignment="1" applyProtection="1">
      <alignment vertical="center"/>
    </xf>
    <xf numFmtId="0" fontId="16" fillId="6" borderId="10" xfId="0" applyNumberFormat="1" applyFont="1" applyFill="1" applyBorder="1" applyAlignment="1" applyProtection="1">
      <alignment vertical="center"/>
    </xf>
    <xf numFmtId="0" fontId="1" fillId="6" borderId="10" xfId="0" applyFont="1" applyFill="1" applyBorder="1" applyAlignment="1" applyProtection="1">
      <alignment vertical="center"/>
    </xf>
    <xf numFmtId="0" fontId="0" fillId="6" borderId="11" xfId="0" applyFill="1" applyBorder="1" applyAlignment="1" applyProtection="1">
      <alignment vertical="center"/>
    </xf>
    <xf numFmtId="0" fontId="0" fillId="6" borderId="10" xfId="0" applyFill="1" applyBorder="1" applyAlignment="1" applyProtection="1">
      <alignment vertical="center"/>
    </xf>
    <xf numFmtId="0" fontId="5" fillId="6" borderId="11" xfId="0" applyFont="1" applyFill="1" applyBorder="1" applyAlignment="1" applyProtection="1">
      <alignment horizontal="left" vertical="center"/>
    </xf>
    <xf numFmtId="0" fontId="1" fillId="6" borderId="10" xfId="0" applyNumberFormat="1" applyFont="1" applyFill="1" applyBorder="1" applyAlignment="1" applyProtection="1">
      <alignment vertical="center"/>
    </xf>
    <xf numFmtId="0" fontId="5" fillId="6" borderId="11" xfId="0" applyFont="1" applyFill="1" applyBorder="1" applyAlignment="1" applyProtection="1">
      <alignment vertical="center"/>
    </xf>
    <xf numFmtId="0" fontId="2" fillId="6" borderId="11" xfId="0" applyNumberFormat="1" applyFont="1" applyFill="1" applyBorder="1" applyAlignment="1" applyProtection="1">
      <alignment vertical="center"/>
    </xf>
    <xf numFmtId="0" fontId="12" fillId="6" borderId="11" xfId="0" applyNumberFormat="1" applyFont="1" applyFill="1" applyBorder="1" applyAlignment="1" applyProtection="1">
      <alignment vertical="center"/>
    </xf>
    <xf numFmtId="0" fontId="5" fillId="6" borderId="13" xfId="0" applyNumberFormat="1" applyFont="1" applyFill="1" applyBorder="1" applyAlignment="1" applyProtection="1">
      <alignment vertical="center"/>
    </xf>
    <xf numFmtId="0" fontId="5" fillId="6" borderId="14" xfId="0" applyNumberFormat="1" applyFont="1" applyFill="1" applyBorder="1" applyAlignment="1" applyProtection="1">
      <alignment vertical="center"/>
    </xf>
    <xf numFmtId="0" fontId="15" fillId="4" borderId="0" xfId="1" applyNumberFormat="1" applyFont="1" applyFill="1" applyBorder="1" applyAlignment="1">
      <alignment vertical="center"/>
    </xf>
    <xf numFmtId="0" fontId="0" fillId="0" borderId="4" xfId="0" applyBorder="1" applyAlignment="1"/>
    <xf numFmtId="0" fontId="1" fillId="7" borderId="0" xfId="0" applyNumberFormat="1" applyFont="1" applyFill="1" applyAlignment="1"/>
    <xf numFmtId="0" fontId="0" fillId="7" borderId="4" xfId="0" applyFill="1" applyBorder="1" applyAlignment="1"/>
    <xf numFmtId="0" fontId="5" fillId="0" borderId="0" xfId="0" applyNumberFormat="1" applyFont="1" applyBorder="1" applyAlignment="1">
      <alignment vertical="center"/>
    </xf>
    <xf numFmtId="0" fontId="5" fillId="5" borderId="16" xfId="2" applyNumberFormat="1" applyFont="1" applyFill="1" applyBorder="1" applyAlignment="1">
      <alignment vertical="center"/>
    </xf>
    <xf numFmtId="169" fontId="24" fillId="0" borderId="0" xfId="0" applyNumberFormat="1" applyFont="1" applyFill="1" applyBorder="1" applyAlignment="1">
      <alignment horizontal="center" vertical="top" wrapText="1"/>
    </xf>
    <xf numFmtId="0" fontId="0" fillId="0" borderId="0" xfId="0" applyBorder="1"/>
    <xf numFmtId="0" fontId="21" fillId="0" borderId="19" xfId="0" applyFont="1" applyBorder="1" applyAlignment="1" applyProtection="1">
      <alignment horizontal="center"/>
    </xf>
    <xf numFmtId="0" fontId="0" fillId="0" borderId="17" xfId="0" applyBorder="1" applyAlignment="1" applyProtection="1"/>
    <xf numFmtId="0" fontId="0" fillId="0" borderId="18" xfId="0" applyBorder="1" applyAlignment="1" applyProtection="1"/>
    <xf numFmtId="0" fontId="0" fillId="0" borderId="34" xfId="0" applyBorder="1" applyAlignment="1" applyProtection="1">
      <alignment horizontal="center"/>
    </xf>
    <xf numFmtId="0" fontId="0" fillId="0" borderId="20" xfId="0" applyBorder="1" applyAlignment="1" applyProtection="1">
      <alignment horizontal="center"/>
    </xf>
    <xf numFmtId="0" fontId="0" fillId="0" borderId="24" xfId="0" applyBorder="1" applyAlignment="1" applyProtection="1">
      <alignment horizontal="center"/>
    </xf>
    <xf numFmtId="0" fontId="0" fillId="0" borderId="20" xfId="0" applyBorder="1" applyProtection="1"/>
    <xf numFmtId="0" fontId="0" fillId="0" borderId="27" xfId="0" applyBorder="1" applyAlignment="1" applyProtection="1">
      <alignment horizontal="right"/>
    </xf>
    <xf numFmtId="0" fontId="0" fillId="0" borderId="28" xfId="0" applyBorder="1" applyAlignment="1" applyProtection="1">
      <alignment horizontal="right"/>
    </xf>
    <xf numFmtId="0" fontId="0" fillId="0" borderId="32" xfId="0" applyBorder="1" applyProtection="1"/>
    <xf numFmtId="0" fontId="0" fillId="0" borderId="25" xfId="0" applyBorder="1" applyProtection="1"/>
    <xf numFmtId="0" fontId="0" fillId="0" borderId="26" xfId="0" applyBorder="1" applyProtection="1"/>
    <xf numFmtId="0" fontId="0" fillId="0" borderId="0" xfId="0" applyBorder="1" applyProtection="1"/>
    <xf numFmtId="0" fontId="23" fillId="0" borderId="22" xfId="0" applyFont="1" applyBorder="1" applyAlignment="1" applyProtection="1">
      <alignment horizontal="right" vertical="center"/>
    </xf>
    <xf numFmtId="0" fontId="0" fillId="0" borderId="29" xfId="0" applyBorder="1" applyProtection="1"/>
    <xf numFmtId="0" fontId="1" fillId="0" borderId="31" xfId="0" applyFont="1" applyBorder="1" applyAlignment="1" applyProtection="1">
      <alignment horizontal="right" vertical="center"/>
    </xf>
    <xf numFmtId="0" fontId="1" fillId="0" borderId="21" xfId="0" applyFont="1" applyBorder="1" applyAlignment="1" applyProtection="1">
      <alignment horizontal="right" vertical="center"/>
    </xf>
    <xf numFmtId="0" fontId="1" fillId="0" borderId="8" xfId="0" applyFont="1" applyBorder="1" applyProtection="1"/>
    <xf numFmtId="0" fontId="25" fillId="0" borderId="23" xfId="0" applyFont="1" applyBorder="1" applyAlignment="1" applyProtection="1">
      <alignment horizontal="right" vertical="center"/>
    </xf>
    <xf numFmtId="0" fontId="1" fillId="0" borderId="23" xfId="0" applyFont="1" applyBorder="1" applyAlignment="1" applyProtection="1">
      <alignment horizontal="right"/>
    </xf>
    <xf numFmtId="0" fontId="1" fillId="0" borderId="23" xfId="0" applyFont="1" applyBorder="1" applyAlignment="1" applyProtection="1">
      <alignment horizontal="right" vertical="center"/>
    </xf>
    <xf numFmtId="0" fontId="1" fillId="0" borderId="30" xfId="0" applyFont="1" applyBorder="1" applyAlignment="1" applyProtection="1">
      <alignment horizontal="right" vertical="center"/>
    </xf>
    <xf numFmtId="0" fontId="1" fillId="0" borderId="33" xfId="0" applyFont="1" applyBorder="1" applyProtection="1"/>
    <xf numFmtId="0" fontId="1" fillId="0" borderId="27" xfId="0" applyFont="1" applyBorder="1" applyProtection="1"/>
    <xf numFmtId="0" fontId="1" fillId="0" borderId="20" xfId="0" applyFont="1" applyBorder="1" applyProtection="1"/>
    <xf numFmtId="0" fontId="26" fillId="8" borderId="28" xfId="0" applyFont="1" applyFill="1" applyBorder="1" applyAlignment="1" applyProtection="1">
      <alignment horizontal="center" wrapText="1"/>
    </xf>
    <xf numFmtId="0" fontId="1" fillId="0" borderId="34" xfId="0" applyFont="1" applyBorder="1" applyProtection="1"/>
    <xf numFmtId="0" fontId="1" fillId="0" borderId="22" xfId="0" applyFont="1" applyBorder="1" applyProtection="1"/>
    <xf numFmtId="0" fontId="1" fillId="0" borderId="0" xfId="0" applyFont="1" applyBorder="1" applyProtection="1"/>
    <xf numFmtId="0" fontId="26" fillId="8" borderId="29" xfId="0" applyFont="1" applyFill="1" applyBorder="1" applyAlignment="1" applyProtection="1">
      <alignment horizontal="center" wrapText="1"/>
    </xf>
    <xf numFmtId="169" fontId="26" fillId="0" borderId="22" xfId="0" applyNumberFormat="1" applyFont="1" applyFill="1" applyBorder="1" applyAlignment="1" applyProtection="1">
      <alignment horizontal="right" vertical="top" wrapText="1"/>
    </xf>
    <xf numFmtId="3" fontId="26" fillId="0" borderId="22" xfId="0" applyNumberFormat="1" applyFont="1" applyFill="1" applyBorder="1" applyAlignment="1" applyProtection="1">
      <alignment horizontal="right" vertical="top" wrapText="1"/>
    </xf>
    <xf numFmtId="3" fontId="1" fillId="0" borderId="22" xfId="0" applyNumberFormat="1" applyFont="1" applyBorder="1" applyProtection="1"/>
    <xf numFmtId="0" fontId="1" fillId="0" borderId="29" xfId="0" applyFont="1" applyBorder="1" applyProtection="1"/>
    <xf numFmtId="170" fontId="26" fillId="0" borderId="22" xfId="0" applyNumberFormat="1" applyFont="1" applyFill="1" applyBorder="1" applyAlignment="1" applyProtection="1">
      <alignment horizontal="right" vertical="top" wrapText="1"/>
    </xf>
    <xf numFmtId="3" fontId="1" fillId="0" borderId="22" xfId="0" applyNumberFormat="1" applyFont="1" applyFill="1" applyBorder="1" applyAlignment="1" applyProtection="1">
      <alignment horizontal="right" vertical="top" wrapText="1"/>
    </xf>
    <xf numFmtId="169" fontId="26" fillId="0" borderId="22" xfId="0" applyNumberFormat="1" applyFont="1" applyFill="1" applyBorder="1" applyAlignment="1" applyProtection="1">
      <alignment horizontal="center" vertical="top" wrapText="1"/>
    </xf>
    <xf numFmtId="0" fontId="1" fillId="0" borderId="22" xfId="0" applyFont="1" applyFill="1" applyBorder="1" applyProtection="1"/>
    <xf numFmtId="0" fontId="1" fillId="0" borderId="32" xfId="0" applyFont="1" applyBorder="1" applyProtection="1"/>
    <xf numFmtId="0" fontId="1" fillId="0" borderId="23" xfId="0" applyFont="1" applyBorder="1" applyProtection="1"/>
    <xf numFmtId="3" fontId="1" fillId="0" borderId="23" xfId="0" applyNumberFormat="1" applyFont="1" applyFill="1" applyBorder="1" applyAlignment="1" applyProtection="1">
      <alignment horizontal="right" vertical="top" wrapText="1"/>
    </xf>
    <xf numFmtId="3" fontId="1" fillId="0" borderId="23" xfId="0" applyNumberFormat="1" applyFont="1" applyFill="1" applyBorder="1" applyProtection="1"/>
    <xf numFmtId="169" fontId="26" fillId="0" borderId="23" xfId="0" applyNumberFormat="1" applyFont="1" applyFill="1" applyBorder="1" applyAlignment="1" applyProtection="1">
      <alignment horizontal="center" vertical="top" wrapText="1"/>
    </xf>
    <xf numFmtId="0" fontId="1" fillId="0" borderId="30" xfId="0" applyFont="1" applyBorder="1" applyProtection="1"/>
    <xf numFmtId="0" fontId="1" fillId="0" borderId="0" xfId="0" applyFont="1" applyProtection="1"/>
    <xf numFmtId="169" fontId="26" fillId="0" borderId="0" xfId="0" applyNumberFormat="1" applyFont="1" applyFill="1" applyBorder="1" applyAlignment="1" applyProtection="1">
      <alignment horizontal="center" vertical="top" wrapText="1"/>
    </xf>
  </cellXfs>
  <cellStyles count="3">
    <cellStyle name="Good" xfId="1" builtinId="26"/>
    <cellStyle name="Normal" xfId="0" builtinId="0"/>
    <cellStyle name="Note" xfId="2" builtinId="10"/>
  </cellStyles>
  <dxfs count="3">
    <dxf>
      <font>
        <strike val="0"/>
        <color rgb="FFFFC000"/>
      </font>
    </dxf>
    <dxf>
      <font>
        <color theme="0"/>
        <name val="Cambria"/>
        <scheme val="none"/>
      </font>
    </dxf>
    <dxf>
      <font>
        <strike val="0"/>
        <color theme="0"/>
      </font>
    </dxf>
  </dxfs>
  <tableStyles count="0" defaultTableStyle="TableStyleMedium9" defaultPivotStyle="PivotStyleLight16"/>
  <colors>
    <mruColors>
      <color rgb="FF66FF66"/>
      <color rgb="FF81FF8D"/>
      <color rgb="FF9DD69A"/>
      <color rgb="FF202A8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83</xdr:row>
      <xdr:rowOff>104775</xdr:rowOff>
    </xdr:from>
    <xdr:to>
      <xdr:col>1</xdr:col>
      <xdr:colOff>708933</xdr:colOff>
      <xdr:row>96</xdr:row>
      <xdr:rowOff>57150</xdr:rowOff>
    </xdr:to>
    <xdr:pic>
      <xdr:nvPicPr>
        <xdr:cNvPr id="1307"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3790950" cy="2428875"/>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504824</xdr:colOff>
      <xdr:row>1</xdr:row>
      <xdr:rowOff>38098</xdr:rowOff>
    </xdr:from>
    <xdr:to>
      <xdr:col>8</xdr:col>
      <xdr:colOff>523875</xdr:colOff>
      <xdr:row>84</xdr:row>
      <xdr:rowOff>76200</xdr:rowOff>
    </xdr:to>
    <xdr:sp macro="" textlink="">
      <xdr:nvSpPr>
        <xdr:cNvPr id="3" name="TextBox 2"/>
        <xdr:cNvSpPr txBox="1"/>
      </xdr:nvSpPr>
      <xdr:spPr>
        <a:xfrm>
          <a:off x="504824" y="266698"/>
          <a:ext cx="6115051" cy="15954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0">
              <a:solidFill>
                <a:schemeClr val="dk1"/>
              </a:solidFill>
              <a:latin typeface="Arial" pitchFamily="34" charset="0"/>
              <a:ea typeface="+mn-ea"/>
              <a:cs typeface="Arial" pitchFamily="34" charset="0"/>
            </a:rPr>
            <a:t>Instructions</a:t>
          </a:r>
        </a:p>
        <a:p>
          <a:pPr algn="ctr"/>
          <a:r>
            <a:rPr lang="en-US" sz="1400" b="1">
              <a:solidFill>
                <a:schemeClr val="dk1"/>
              </a:solidFill>
              <a:latin typeface="Arial" pitchFamily="34" charset="0"/>
              <a:ea typeface="+mn-ea"/>
              <a:cs typeface="Arial" pitchFamily="34" charset="0"/>
            </a:rPr>
            <a:t>Microsoft Excel</a:t>
          </a:r>
          <a:r>
            <a:rPr lang="en-US" sz="1400" b="1" baseline="30000">
              <a:solidFill>
                <a:schemeClr val="dk1"/>
              </a:solidFill>
              <a:latin typeface="Arial" pitchFamily="34" charset="0"/>
              <a:ea typeface="+mn-ea"/>
              <a:cs typeface="Arial" pitchFamily="34" charset="0"/>
            </a:rPr>
            <a:t>®</a:t>
          </a:r>
          <a:r>
            <a:rPr lang="en-US" sz="1400" b="1">
              <a:solidFill>
                <a:schemeClr val="dk1"/>
              </a:solidFill>
              <a:latin typeface="Arial" pitchFamily="34" charset="0"/>
              <a:ea typeface="+mn-ea"/>
              <a:cs typeface="Arial" pitchFamily="34" charset="0"/>
            </a:rPr>
            <a:t> Wo</a:t>
          </a:r>
          <a:r>
            <a:rPr lang="en-US" sz="1100" b="1">
              <a:solidFill>
                <a:schemeClr val="dk1"/>
              </a:solidFill>
              <a:latin typeface="Arial" pitchFamily="34" charset="0"/>
              <a:ea typeface="+mn-ea"/>
              <a:cs typeface="Arial" pitchFamily="34" charset="0"/>
            </a:rPr>
            <a:t>rksheet</a:t>
          </a:r>
          <a:endParaRPr lang="en-US" sz="1100">
            <a:solidFill>
              <a:schemeClr val="dk1"/>
            </a:solidFill>
            <a:latin typeface="Arial" pitchFamily="34" charset="0"/>
            <a:ea typeface="+mn-ea"/>
            <a:cs typeface="Arial" pitchFamily="34" charset="0"/>
          </a:endParaRPr>
        </a:p>
        <a:p>
          <a:pPr algn="ctr"/>
          <a:r>
            <a:rPr lang="en-US" sz="1400" b="1">
              <a:solidFill>
                <a:schemeClr val="dk1"/>
              </a:solidFill>
              <a:latin typeface="Arial" pitchFamily="34" charset="0"/>
              <a:ea typeface="+mn-ea"/>
              <a:cs typeface="Arial" pitchFamily="34" charset="0"/>
            </a:rPr>
            <a:t>LIQUID PRESSURE LOSS IN PIPES, VALVES AND FITTINGS</a:t>
          </a:r>
        </a:p>
        <a:p>
          <a:pPr algn="l"/>
          <a:endParaRPr lang="en-US" sz="1400">
            <a:solidFill>
              <a:schemeClr val="dk1"/>
            </a:solidFill>
            <a:latin typeface="Arial" pitchFamily="34" charset="0"/>
            <a:ea typeface="+mn-ea"/>
            <a:cs typeface="Arial" pitchFamily="34" charset="0"/>
          </a:endParaRPr>
        </a:p>
        <a:p>
          <a:pPr marL="0" marR="0">
            <a:lnSpc>
              <a:spcPct val="115000"/>
            </a:lnSpc>
            <a:spcBef>
              <a:spcPts val="0"/>
            </a:spcBef>
            <a:spcAft>
              <a:spcPts val="600"/>
            </a:spcAft>
          </a:pPr>
          <a:r>
            <a:rPr lang="en-US" sz="1100" b="1">
              <a:latin typeface="Arial"/>
              <a:ea typeface="Calibri"/>
              <a:cs typeface="Times New Roman"/>
            </a:rPr>
            <a:t>DISCLAIMER</a:t>
          </a:r>
          <a:r>
            <a:rPr lang="en-US" sz="1100">
              <a:latin typeface="Arial"/>
              <a:ea typeface="Calibri"/>
              <a:cs typeface="Times New Roman"/>
            </a:rPr>
            <a:t> </a:t>
          </a:r>
          <a:endParaRPr lang="en-US" sz="1100">
            <a:latin typeface="+mn-lt"/>
            <a:ea typeface="Calibri"/>
            <a:cs typeface="Times New Roman"/>
          </a:endParaRPr>
        </a:p>
        <a:p>
          <a:pPr marL="0" marR="0">
            <a:lnSpc>
              <a:spcPct val="115000"/>
            </a:lnSpc>
            <a:spcBef>
              <a:spcPts val="0"/>
            </a:spcBef>
            <a:spcAft>
              <a:spcPts val="600"/>
            </a:spcAft>
          </a:pPr>
          <a:r>
            <a:rPr lang="en-US" sz="1100" b="1">
              <a:solidFill>
                <a:srgbClr val="FF0000"/>
              </a:solidFill>
              <a:latin typeface="Arial"/>
              <a:ea typeface="Calibri"/>
              <a:cs typeface="Times New Roman"/>
            </a:rPr>
            <a:t>This worksheet is distributed at no charge on an as-is basis. The author does not assume any liability for its use.</a:t>
          </a:r>
          <a:endParaRPr lang="en-US" sz="1100">
            <a:solidFill>
              <a:srgbClr val="FF0000"/>
            </a:solidFill>
            <a:latin typeface="+mn-lt"/>
            <a:ea typeface="Calibri"/>
            <a:cs typeface="Times New Roman"/>
          </a:endParaRPr>
        </a:p>
        <a:p>
          <a:pPr marL="0" marR="0">
            <a:lnSpc>
              <a:spcPct val="115000"/>
            </a:lnSpc>
            <a:spcBef>
              <a:spcPts val="0"/>
            </a:spcBef>
            <a:spcAft>
              <a:spcPts val="600"/>
            </a:spcAft>
          </a:pPr>
          <a:r>
            <a:rPr lang="en-US" sz="1100" b="1">
              <a:latin typeface="Arial"/>
              <a:ea typeface="Calibri"/>
              <a:cs typeface="Times New Roman"/>
            </a:rPr>
            <a:t>WORKSHEET PROTECTION AND COPYRIGHT</a:t>
          </a:r>
          <a:r>
            <a:rPr lang="en-US" sz="1100">
              <a:latin typeface="Arial"/>
              <a:ea typeface="Calibri"/>
              <a:cs typeface="Times New Roman"/>
            </a:rPr>
            <a:t>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 have protected the worksheet to prevent accidental changes to the formulas and calculation method. It is still possible to see the formulas that are used so that those who are interested can verify the calculation method, or use my calculation method and formulas in their own worksheet or other programming environments. If you want to make changes to the worksheet, the password is </a:t>
          </a:r>
          <a:r>
            <a:rPr lang="en-US" sz="1100" u="sng">
              <a:latin typeface="Arial"/>
              <a:ea typeface="Calibri"/>
              <a:cs typeface="Times New Roman"/>
            </a:rPr>
            <a:t>eliminator</a:t>
          </a:r>
          <a:r>
            <a:rPr lang="en-US" sz="1100">
              <a:latin typeface="Arial"/>
              <a:ea typeface="Calibri"/>
              <a:cs typeface="Times New Roman"/>
            </a:rPr>
            <a:t>, but you do so at your own risk.</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 have not claimed copyright to this worksheet because I want it to be used by anyone who wants to. If you design your own worksheet or other program using my formulas and calculation methods, leave my name off, as I don’t want credit for any incorrect calculations.</a:t>
          </a:r>
          <a:endParaRPr lang="en-US" sz="1100">
            <a:latin typeface="+mn-lt"/>
            <a:ea typeface="Calibri"/>
            <a:cs typeface="Times New Roman"/>
          </a:endParaRPr>
        </a:p>
        <a:p>
          <a:pPr marL="0" marR="0">
            <a:lnSpc>
              <a:spcPct val="115000"/>
            </a:lnSpc>
            <a:spcBef>
              <a:spcPts val="0"/>
            </a:spcBef>
            <a:spcAft>
              <a:spcPts val="600"/>
            </a:spcAft>
          </a:pPr>
          <a:r>
            <a:rPr lang="en-US" sz="1100" b="1">
              <a:latin typeface="Arial"/>
              <a:ea typeface="Calibri"/>
              <a:cs typeface="Times New Roman"/>
            </a:rPr>
            <a:t>How the Worksheet Works</a:t>
          </a:r>
          <a:r>
            <a:rPr lang="en-US" sz="1100">
              <a:latin typeface="Arial"/>
              <a:ea typeface="Calibri"/>
              <a:cs typeface="Times New Roman"/>
            </a:rPr>
            <a:t>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There are ten columns of identical individual calculations. You can use just one, or you can use more than one for different flow rates in the same system, for unrelated calculations or for chained calculations for the same system where you want to break the system down into several small systems in series.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In Column C, each variable, constant or formula cell is assigned, as its name, the variable name in Column B, and it is this name that is used whenever that cell's contents are used in a subsequent formula. With this knowledge, the user can easily see the flow of the calculations by studying the worksheet. (This naming of the cells only applies to Column C. When a variable or formula is duplicated in a subsequent column, cells are simply referred to by their cell number, i.e. “D10.”)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In general, the worksheet uses methods presented in “</a:t>
          </a:r>
          <a:r>
            <a:rPr lang="en-US" sz="1100" i="1">
              <a:latin typeface="Arial"/>
              <a:ea typeface="Calibri"/>
              <a:cs typeface="Times New Roman"/>
            </a:rPr>
            <a:t>Flow of Fluid Through Valves, Fittings and Pipe, Technical Paper No. 410</a:t>
          </a:r>
          <a:r>
            <a:rPr lang="en-US" sz="1100">
              <a:latin typeface="Arial"/>
              <a:ea typeface="Calibri"/>
              <a:cs typeface="Times New Roman"/>
            </a:rPr>
            <a:t>” published by the Crane Company. Over the years I have found this to be a valuable reference. It can be purchased from the Crane Company. Copy</a:t>
          </a:r>
          <a:r>
            <a:rPr lang="en-US" sz="1100" baseline="0">
              <a:latin typeface="Arial"/>
              <a:ea typeface="Calibri"/>
              <a:cs typeface="Times New Roman"/>
            </a:rPr>
            <a:t> and paste this URL into your browser: www.flowoffluids.com</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Crane also has a very comprehensive software package for doing piping calculations which, the last time I checked their web site, they sell for $1,395. (I have no affiliation with the Crane Company and do not benefit from any sales they make.)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For the calculation of the friction factor</a:t>
          </a:r>
          <a:r>
            <a:rPr lang="en-US" sz="1100" baseline="0">
              <a:latin typeface="Arial"/>
              <a:ea typeface="Calibri"/>
              <a:cs typeface="Times New Roman"/>
            </a:rPr>
            <a:t> the worksheet</a:t>
          </a:r>
          <a:r>
            <a:rPr lang="en-US" sz="1100">
              <a:latin typeface="Arial"/>
              <a:ea typeface="Calibri"/>
              <a:cs typeface="Times New Roman"/>
            </a:rPr>
            <a:t> uses the Haaland equation which gives an implicit solution to the friction factor. The Wikipedia article on "Darcy friction factor formulae" states “The Haaland equation is used to solve directly for the Darcey-Weisbach friction factor f for a full-flowing circular pipe. It is an approximation of the implicit Colebrook-White equation, but the discrepancy from experimental data is well within the accuracy of the data.” </a:t>
          </a:r>
        </a:p>
        <a:p>
          <a:pPr marL="0" marR="0">
            <a:lnSpc>
              <a:spcPct val="115000"/>
            </a:lnSpc>
            <a:spcBef>
              <a:spcPts val="0"/>
            </a:spcBef>
            <a:spcAft>
              <a:spcPts val="600"/>
            </a:spcAft>
          </a:pP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The worksheet follows the convention in the Crane book of using the actual friction factor, f, for determining the “K factor” of pipe, and the turbulent friction factor, f</a:t>
          </a:r>
          <a:r>
            <a:rPr lang="en-US" sz="1100" baseline="-25000">
              <a:latin typeface="Arial"/>
              <a:ea typeface="Calibri"/>
              <a:cs typeface="Times New Roman"/>
            </a:rPr>
            <a:t>T</a:t>
          </a:r>
          <a:r>
            <a:rPr lang="en-US" sz="1100">
              <a:latin typeface="Arial"/>
              <a:ea typeface="Calibri"/>
              <a:cs typeface="Times New Roman"/>
            </a:rPr>
            <a:t> for determining the “K factor” of fittings.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There is a section for entering a take-off of valves and fittings. In the “K factor VALVES &amp; FITTINGS” section, the total value of the K for each type of fitting is calculated by multiplying the quantity of that type of valve or fitting, by its “L/D” (mostly taken from the Crane book) and by f</a:t>
          </a:r>
          <a:r>
            <a:rPr lang="en-US" sz="1100" baseline="-25000">
              <a:latin typeface="Arial"/>
              <a:ea typeface="Calibri"/>
              <a:cs typeface="Times New Roman"/>
            </a:rPr>
            <a:t>T</a:t>
          </a:r>
          <a:r>
            <a:rPr lang="en-US" sz="1100">
              <a:latin typeface="Arial"/>
              <a:ea typeface="Calibri"/>
              <a:cs typeface="Times New Roman"/>
            </a:rPr>
            <a:t>. For valves, if you know the actual Cv of the valve, you will get a more accurate K factor by entering the Cv in one of the fields for Cv Valve (1 through 5).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For reducers and expanders (there is only space for one of each) you enter the beta of the element. Beta is defined as the “smaller diameter divided by the larger diameter.” </a:t>
          </a:r>
          <a:endParaRPr lang="en-US" sz="1100">
            <a:latin typeface="+mn-lt"/>
            <a:ea typeface="Calibri"/>
            <a:cs typeface="Times New Roman"/>
          </a:endParaRPr>
        </a:p>
        <a:p>
          <a:pPr marL="0" marR="0">
            <a:lnSpc>
              <a:spcPct val="115000"/>
            </a:lnSpc>
            <a:spcBef>
              <a:spcPts val="0"/>
            </a:spcBef>
            <a:spcAft>
              <a:spcPts val="600"/>
            </a:spcAft>
          </a:pPr>
          <a:r>
            <a:rPr lang="en-US" sz="1100" b="1">
              <a:latin typeface="Arial"/>
              <a:ea typeface="Calibri"/>
              <a:cs typeface="Times New Roman"/>
            </a:rPr>
            <a:t>Using the Worksheet</a:t>
          </a:r>
          <a:r>
            <a:rPr lang="en-US" sz="1100">
              <a:latin typeface="Arial"/>
              <a:ea typeface="Calibri"/>
              <a:cs typeface="Times New Roman"/>
            </a:rPr>
            <a:t> </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If you have read the above section, using the worksheet is straight forward. To avoid unsightly clutter and error messages in portions of the sheet that are not being used, calculated results are only shown after all of the required data has been entered. Required fields have a blue background. The fields with a green background are for optional inputs. </a:t>
          </a:r>
        </a:p>
        <a:p>
          <a:pPr marL="0" marR="0">
            <a:lnSpc>
              <a:spcPct val="115000"/>
            </a:lnSpc>
            <a:spcBef>
              <a:spcPts val="0"/>
            </a:spcBef>
            <a:spcAft>
              <a:spcPts val="600"/>
            </a:spcAft>
          </a:pPr>
          <a:r>
            <a:rPr lang="en-US" sz="1100">
              <a:latin typeface="Arial"/>
              <a:ea typeface="Calibri"/>
              <a:cs typeface="Times New Roman"/>
            </a:rPr>
            <a:t>The fields for the “VALVE AND FITTING TAKEOFF” are only filled in when they are applicable. If the only thing in a system is pipe and one standard port ball valve you would enter a 1 on Line 22 and leave the rest of the cells in that section empty. The sheet will calculate the K factor of one standard port ball valve of 0.703 on Line 44. If you know the Cv of a valve, it will be more accurate to enter its Cv in one of the valve Cv fields instead of entering a 1 in one of the valve takeoff fields.</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Line 65 optionally allows you to enter the K factor (or th</a:t>
          </a:r>
          <a:r>
            <a:rPr lang="en-US" sz="1100" baseline="0">
              <a:latin typeface="Arial"/>
              <a:ea typeface="Calibri"/>
              <a:cs typeface="Times New Roman"/>
            </a:rPr>
            <a:t>e sum of K factors)</a:t>
          </a:r>
          <a:r>
            <a:rPr lang="en-US" sz="1100">
              <a:latin typeface="Arial"/>
              <a:ea typeface="Calibri"/>
              <a:cs typeface="Times New Roman"/>
            </a:rPr>
            <a:t> for any other equipment that is not included elsewhere. An example would be a heat exchanger.</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The "Change in elevation" field only needs to be filled in if there is a difference in elevation between the beginning and end of the system. If in addition to the total pressure loss in the system, you want to know the pressure at the end of the system (P</a:t>
          </a:r>
          <a:r>
            <a:rPr lang="en-US" sz="1100" baseline="-25000">
              <a:latin typeface="Arial"/>
              <a:ea typeface="Calibri"/>
              <a:cs typeface="Times New Roman"/>
            </a:rPr>
            <a:t>2</a:t>
          </a:r>
          <a:r>
            <a:rPr lang="en-US" sz="1100">
              <a:latin typeface="Arial"/>
              <a:ea typeface="Calibri"/>
              <a:cs typeface="Times New Roman"/>
            </a:rPr>
            <a:t>) you can optionally enter the pressure at the beginning of the system (P</a:t>
          </a:r>
          <a:r>
            <a:rPr lang="en-US" sz="1100" baseline="-25000">
              <a:latin typeface="Arial"/>
              <a:ea typeface="Calibri"/>
              <a:cs typeface="Times New Roman"/>
            </a:rPr>
            <a:t>1</a:t>
          </a:r>
          <a:r>
            <a:rPr lang="en-US" sz="1100">
              <a:latin typeface="Arial"/>
              <a:ea typeface="Calibri"/>
              <a:cs typeface="Times New Roman"/>
            </a:rPr>
            <a:t>) on Row 73.</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If you have a system where the pipe size changes, you will need to split the system into two series calculations. The one with the larger pipe will have a reducer or expander. If the reducer or expander went from 4 inches to 2 inches, its Beta would be 0.5.</a:t>
          </a:r>
          <a:endParaRPr lang="en-US" sz="1100">
            <a:latin typeface="+mn-lt"/>
            <a:ea typeface="Calibri"/>
            <a:cs typeface="Times New Roman"/>
          </a:endParaRPr>
        </a:p>
        <a:p>
          <a:pPr marL="0" marR="0">
            <a:lnSpc>
              <a:spcPct val="115000"/>
            </a:lnSpc>
            <a:spcBef>
              <a:spcPts val="0"/>
            </a:spcBef>
            <a:spcAft>
              <a:spcPts val="600"/>
            </a:spcAft>
          </a:pPr>
          <a:r>
            <a:rPr lang="en-US" sz="1100">
              <a:latin typeface="Arial"/>
              <a:ea typeface="Calibri"/>
              <a:cs typeface="Times New Roman"/>
            </a:rPr>
            <a:t> </a:t>
          </a:r>
          <a:endParaRPr lang="en-US" sz="1100">
            <a:latin typeface="+mn-lt"/>
            <a:ea typeface="Calibri"/>
            <a:cs typeface="Times New Roman"/>
          </a:endParaRPr>
        </a:p>
        <a:p>
          <a:pPr algn="l"/>
          <a:endParaRPr lang="en-US" sz="1100">
            <a:solidFill>
              <a:schemeClr val="dk1"/>
            </a:solidFill>
            <a:latin typeface="Arial" pitchFamily="34" charset="0"/>
            <a:ea typeface="+mn-ea"/>
            <a:cs typeface="Arial" pitchFamily="34" charset="0"/>
          </a:endParaRPr>
        </a:p>
        <a:p>
          <a:pPr algn="l"/>
          <a:endParaRPr lang="en-US" sz="1100">
            <a:solidFill>
              <a:schemeClr val="dk1"/>
            </a:solidFill>
            <a:latin typeface="Arial" pitchFamily="34" charset="0"/>
            <a:ea typeface="+mn-ea"/>
            <a:cs typeface="Arial" pitchFamily="34" charset="0"/>
          </a:endParaRPr>
        </a:p>
        <a:p>
          <a:pPr algn="l"/>
          <a:endParaRPr lang="en-US" sz="1100">
            <a:solidFill>
              <a:schemeClr val="dk1"/>
            </a:solidFill>
            <a:latin typeface="Arial" pitchFamily="34" charset="0"/>
            <a:ea typeface="+mn-ea"/>
            <a:cs typeface="Arial" pitchFamily="34" charset="0"/>
          </a:endParaRPr>
        </a:p>
        <a:p>
          <a:pPr algn="l"/>
          <a:endParaRPr lang="en-US" sz="1100">
            <a:solidFill>
              <a:schemeClr val="dk1"/>
            </a:solidFill>
            <a:latin typeface="Arial" pitchFamily="34" charset="0"/>
            <a:ea typeface="+mn-ea"/>
            <a:cs typeface="Arial" pitchFamily="34" charset="0"/>
          </a:endParaRPr>
        </a:p>
        <a:p>
          <a:pPr algn="l"/>
          <a:endParaRPr lang="en-US" sz="1100">
            <a:solidFill>
              <a:schemeClr val="dk1"/>
            </a:solidFill>
            <a:latin typeface="Arial" pitchFamily="34" charset="0"/>
            <a:ea typeface="+mn-ea"/>
            <a:cs typeface="Arial" pitchFamily="34" charset="0"/>
          </a:endParaRPr>
        </a:p>
        <a:p>
          <a:pPr algn="l"/>
          <a:endParaRPr lang="en-US" sz="11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102"/>
  <sheetViews>
    <sheetView tabSelected="1" zoomScale="80" zoomScaleNormal="80" workbookViewId="0">
      <selection activeCell="A5" sqref="A5"/>
    </sheetView>
  </sheetViews>
  <sheetFormatPr defaultColWidth="10.6640625" defaultRowHeight="15"/>
  <cols>
    <col min="1" max="1" width="36" style="1" customWidth="1"/>
    <col min="2" max="2" width="18.5546875" style="1" customWidth="1"/>
    <col min="3" max="3" width="10.6640625" style="1" customWidth="1"/>
    <col min="4" max="13" width="10.6640625" style="1"/>
    <col min="14" max="14" width="18.44140625" style="1" customWidth="1"/>
    <col min="15" max="16384" width="10.6640625" style="1"/>
  </cols>
  <sheetData>
    <row r="1" spans="1:12" ht="18.75" thickTop="1">
      <c r="A1" s="9" t="s">
        <v>110</v>
      </c>
      <c r="B1" s="10"/>
      <c r="C1" s="11"/>
      <c r="D1" s="11"/>
      <c r="E1" s="11"/>
      <c r="F1" s="12"/>
      <c r="G1" s="11"/>
      <c r="H1" s="11"/>
      <c r="I1" s="11"/>
      <c r="J1" s="11"/>
      <c r="K1" s="11"/>
      <c r="L1" s="13"/>
    </row>
    <row r="2" spans="1:12">
      <c r="A2" s="19"/>
      <c r="B2" s="20"/>
      <c r="C2" s="20"/>
      <c r="D2" s="21"/>
      <c r="E2" s="20"/>
      <c r="F2" s="22"/>
      <c r="G2" s="20"/>
      <c r="H2" s="20"/>
      <c r="I2" s="20"/>
      <c r="J2" s="20"/>
      <c r="K2" s="88" t="s">
        <v>115</v>
      </c>
      <c r="L2" s="89"/>
    </row>
    <row r="3" spans="1:12">
      <c r="A3" s="19"/>
      <c r="B3" s="20"/>
      <c r="C3" s="20"/>
      <c r="D3" s="20"/>
      <c r="E3" s="20"/>
      <c r="F3" s="22"/>
      <c r="G3" s="20"/>
      <c r="H3" s="20"/>
      <c r="I3" s="20"/>
      <c r="J3" s="20"/>
      <c r="K3" s="90" t="s">
        <v>116</v>
      </c>
      <c r="L3" s="91"/>
    </row>
    <row r="4" spans="1:12">
      <c r="A4" s="14" t="s">
        <v>0</v>
      </c>
      <c r="B4" s="15"/>
      <c r="C4" s="20"/>
      <c r="D4" s="16"/>
      <c r="E4" s="20"/>
      <c r="F4" s="22"/>
      <c r="G4" s="20"/>
      <c r="H4" s="20"/>
      <c r="I4" s="20"/>
      <c r="J4" s="15"/>
      <c r="K4" s="92" t="s">
        <v>53</v>
      </c>
      <c r="L4" s="89"/>
    </row>
    <row r="5" spans="1:12">
      <c r="A5" s="17"/>
      <c r="B5" s="16"/>
      <c r="C5" s="16"/>
      <c r="D5" s="16"/>
      <c r="E5" s="16"/>
      <c r="F5" s="18"/>
      <c r="G5" s="20"/>
      <c r="H5" s="20"/>
      <c r="I5" s="20"/>
      <c r="J5" s="20"/>
      <c r="K5" s="93" t="s">
        <v>54</v>
      </c>
      <c r="L5" s="89"/>
    </row>
    <row r="6" spans="1:12" ht="15.75" thickBot="1">
      <c r="A6" s="23"/>
      <c r="B6" s="24"/>
      <c r="C6" s="24"/>
      <c r="D6" s="24"/>
      <c r="E6" s="24"/>
      <c r="F6" s="24"/>
      <c r="G6" s="24"/>
      <c r="H6" s="24"/>
      <c r="I6" s="24"/>
      <c r="J6" s="24"/>
      <c r="K6" s="25"/>
      <c r="L6" s="26"/>
    </row>
    <row r="7" spans="1:12">
      <c r="A7" s="27"/>
      <c r="B7" s="28"/>
      <c r="C7" s="63"/>
      <c r="D7" s="63"/>
      <c r="E7" s="63"/>
      <c r="F7" s="63"/>
      <c r="G7" s="63"/>
      <c r="H7" s="63"/>
      <c r="I7" s="63"/>
      <c r="J7" s="63"/>
      <c r="K7" s="63"/>
      <c r="L7" s="64"/>
    </row>
    <row r="8" spans="1:12">
      <c r="A8" s="71" t="s">
        <v>1</v>
      </c>
      <c r="B8" s="72"/>
      <c r="C8" s="30"/>
      <c r="D8" s="30"/>
      <c r="E8" s="30"/>
      <c r="F8" s="30"/>
      <c r="G8" s="30"/>
      <c r="H8" s="30"/>
      <c r="I8" s="30"/>
      <c r="J8" s="30"/>
      <c r="K8" s="30"/>
      <c r="L8" s="31"/>
    </row>
    <row r="9" spans="1:12" ht="17.25" customHeight="1">
      <c r="A9" s="71" t="s">
        <v>2</v>
      </c>
      <c r="B9" s="72"/>
      <c r="C9" s="29">
        <v>12</v>
      </c>
      <c r="D9" s="30">
        <v>12</v>
      </c>
      <c r="E9" s="30">
        <v>12</v>
      </c>
      <c r="F9" s="30"/>
      <c r="G9" s="30"/>
      <c r="H9" s="30"/>
      <c r="I9" s="30"/>
      <c r="J9" s="30"/>
      <c r="K9" s="30"/>
      <c r="L9" s="31"/>
    </row>
    <row r="10" spans="1:12">
      <c r="A10" s="71" t="s">
        <v>3</v>
      </c>
      <c r="B10" s="73" t="s">
        <v>87</v>
      </c>
      <c r="C10" s="33">
        <v>11.938000000000001</v>
      </c>
      <c r="D10" s="34">
        <v>11.938000000000001</v>
      </c>
      <c r="E10" s="34">
        <v>11.938000000000001</v>
      </c>
      <c r="F10" s="34"/>
      <c r="G10" s="36"/>
      <c r="H10" s="36"/>
      <c r="I10" s="36"/>
      <c r="J10" s="36"/>
      <c r="K10" s="36"/>
      <c r="L10" s="37"/>
    </row>
    <row r="11" spans="1:12">
      <c r="A11" s="74" t="s">
        <v>91</v>
      </c>
      <c r="B11" s="73" t="s">
        <v>88</v>
      </c>
      <c r="C11" s="38">
        <f>IF(d_in=0,"",d_in/12)</f>
        <v>0.99483333333333335</v>
      </c>
      <c r="D11" s="38">
        <f>IF(D10=0,"",D10/12)</f>
        <v>0.99483333333333335</v>
      </c>
      <c r="E11" s="38">
        <f t="shared" ref="E11:L11" si="0">IF(E10=0,"",E10/12)</f>
        <v>0.99483333333333335</v>
      </c>
      <c r="F11" s="38" t="str">
        <f t="shared" si="0"/>
        <v/>
      </c>
      <c r="G11" s="38" t="str">
        <f t="shared" si="0"/>
        <v/>
      </c>
      <c r="H11" s="38" t="str">
        <f t="shared" si="0"/>
        <v/>
      </c>
      <c r="I11" s="38" t="str">
        <f t="shared" si="0"/>
        <v/>
      </c>
      <c r="J11" s="38" t="str">
        <f t="shared" si="0"/>
        <v/>
      </c>
      <c r="K11" s="38" t="str">
        <f t="shared" si="0"/>
        <v/>
      </c>
      <c r="L11" s="39" t="str">
        <f t="shared" si="0"/>
        <v/>
      </c>
    </row>
    <row r="12" spans="1:12">
      <c r="A12" s="74" t="s">
        <v>92</v>
      </c>
      <c r="B12" s="73" t="s">
        <v>55</v>
      </c>
      <c r="C12" s="33">
        <v>100</v>
      </c>
      <c r="D12" s="33">
        <v>100</v>
      </c>
      <c r="E12" s="33">
        <v>100</v>
      </c>
      <c r="F12" s="35"/>
      <c r="G12" s="35"/>
      <c r="H12" s="35"/>
      <c r="I12" s="35"/>
      <c r="J12" s="35"/>
      <c r="K12" s="35"/>
      <c r="L12" s="40"/>
    </row>
    <row r="13" spans="1:12">
      <c r="A13" s="74" t="s">
        <v>90</v>
      </c>
      <c r="B13" s="73" t="s">
        <v>57</v>
      </c>
      <c r="C13" s="34">
        <v>1</v>
      </c>
      <c r="D13" s="34">
        <v>1</v>
      </c>
      <c r="E13" s="34">
        <v>1</v>
      </c>
      <c r="F13" s="36"/>
      <c r="G13" s="36"/>
      <c r="H13" s="36"/>
      <c r="I13" s="36"/>
      <c r="J13" s="36"/>
      <c r="K13" s="36"/>
      <c r="L13" s="37"/>
    </row>
    <row r="14" spans="1:12">
      <c r="A14" s="74" t="s">
        <v>39</v>
      </c>
      <c r="B14" s="73" t="s">
        <v>70</v>
      </c>
      <c r="C14" s="41">
        <f>IF(G=0,"",62.364*G)</f>
        <v>62.363999999999997</v>
      </c>
      <c r="D14" s="41">
        <f>IF(D13=0,"",62.364*D13)</f>
        <v>62.363999999999997</v>
      </c>
      <c r="E14" s="41">
        <f>IF(E13=0,"",62.364*E13)</f>
        <v>62.363999999999997</v>
      </c>
      <c r="F14" s="41" t="str">
        <f>IF(F13=0,"",62.364*F13)</f>
        <v/>
      </c>
      <c r="G14" s="41" t="str">
        <f t="shared" ref="G14:L14" si="1">IF(G13=0,"",62.364*G13)</f>
        <v/>
      </c>
      <c r="H14" s="41" t="str">
        <f t="shared" si="1"/>
        <v/>
      </c>
      <c r="I14" s="41" t="str">
        <f t="shared" si="1"/>
        <v/>
      </c>
      <c r="J14" s="41" t="str">
        <f t="shared" si="1"/>
        <v/>
      </c>
      <c r="K14" s="41" t="str">
        <f t="shared" si="1"/>
        <v/>
      </c>
      <c r="L14" s="42" t="str">
        <f t="shared" si="1"/>
        <v/>
      </c>
    </row>
    <row r="15" spans="1:12">
      <c r="A15" s="74" t="s">
        <v>93</v>
      </c>
      <c r="B15" s="73" t="s">
        <v>56</v>
      </c>
      <c r="C15" s="43">
        <v>6000</v>
      </c>
      <c r="D15" s="43">
        <v>6000</v>
      </c>
      <c r="E15" s="43">
        <v>6000</v>
      </c>
      <c r="F15" s="44"/>
      <c r="G15" s="43"/>
      <c r="H15" s="44"/>
      <c r="I15" s="44"/>
      <c r="J15" s="44"/>
      <c r="K15" s="44"/>
      <c r="L15" s="45"/>
    </row>
    <row r="16" spans="1:12">
      <c r="A16" s="74" t="s">
        <v>89</v>
      </c>
      <c r="B16" s="73" t="s">
        <v>69</v>
      </c>
      <c r="C16" s="36">
        <v>1.4999999999999999E-4</v>
      </c>
      <c r="D16" s="36">
        <v>1.4999999999999999E-4</v>
      </c>
      <c r="E16" s="36">
        <v>1.4999999999999999E-4</v>
      </c>
      <c r="F16" s="36">
        <v>1.4999999999999999E-4</v>
      </c>
      <c r="G16" s="36">
        <v>1.4999999999999999E-4</v>
      </c>
      <c r="H16" s="36">
        <v>1.4999999999999999E-4</v>
      </c>
      <c r="I16" s="36">
        <v>1.4999999999999999E-4</v>
      </c>
      <c r="J16" s="36">
        <v>1.4999999999999999E-4</v>
      </c>
      <c r="K16" s="36">
        <v>1.4999999999999999E-4</v>
      </c>
      <c r="L16" s="37">
        <v>1.4999999999999999E-4</v>
      </c>
    </row>
    <row r="17" spans="1:13">
      <c r="A17" s="74" t="s">
        <v>102</v>
      </c>
      <c r="B17" s="73" t="s">
        <v>103</v>
      </c>
      <c r="C17" s="34">
        <v>1</v>
      </c>
      <c r="D17" s="34">
        <v>1</v>
      </c>
      <c r="E17" s="34">
        <v>1</v>
      </c>
      <c r="F17" s="36"/>
      <c r="G17" s="36"/>
      <c r="H17" s="36"/>
      <c r="I17" s="36"/>
      <c r="J17" s="36"/>
      <c r="K17" s="36"/>
      <c r="L17" s="37"/>
    </row>
    <row r="18" spans="1:13">
      <c r="A18" s="75" t="s">
        <v>79</v>
      </c>
      <c r="B18" s="73" t="s">
        <v>58</v>
      </c>
      <c r="C18" s="46">
        <f>50.66*Q*Rho/(d_in*Mu)</f>
        <v>1587884.1883062487</v>
      </c>
      <c r="D18" s="46">
        <f t="shared" ref="D18:L18" si="2">50.66*D15*D14/(D10*D17)</f>
        <v>1587884.1883062487</v>
      </c>
      <c r="E18" s="46">
        <f t="shared" si="2"/>
        <v>1587884.1883062487</v>
      </c>
      <c r="F18" s="46" t="e">
        <f t="shared" si="2"/>
        <v>#VALUE!</v>
      </c>
      <c r="G18" s="46" t="e">
        <f t="shared" si="2"/>
        <v>#VALUE!</v>
      </c>
      <c r="H18" s="46" t="e">
        <f t="shared" si="2"/>
        <v>#VALUE!</v>
      </c>
      <c r="I18" s="46" t="e">
        <f t="shared" si="2"/>
        <v>#VALUE!</v>
      </c>
      <c r="J18" s="46" t="e">
        <f t="shared" si="2"/>
        <v>#VALUE!</v>
      </c>
      <c r="K18" s="46" t="e">
        <f t="shared" si="2"/>
        <v>#VALUE!</v>
      </c>
      <c r="L18" s="47" t="e">
        <f t="shared" si="2"/>
        <v>#VALUE!</v>
      </c>
    </row>
    <row r="19" spans="1:13">
      <c r="A19" s="75" t="s">
        <v>80</v>
      </c>
      <c r="B19" s="76" t="s">
        <v>59</v>
      </c>
      <c r="C19" s="38">
        <f>IF(Re&lt;2100,64/Re,(1/(-1.8*LOG10((((Epsilon/D_ft)/(3.7))^1.11)+6.9/Re)))^2)</f>
        <v>1.3674810214721798E-2</v>
      </c>
      <c r="D19" s="38">
        <f t="shared" ref="D19:L19" si="3">IF(D18&lt;2100,64/D18,(1/(-1.8*LOG10((((D$16/D$11)/(3.7))^1.11)+6.9/D$18)))^2)</f>
        <v>1.3674810214721798E-2</v>
      </c>
      <c r="E19" s="38">
        <f t="shared" si="3"/>
        <v>1.3674810214721798E-2</v>
      </c>
      <c r="F19" s="38" t="e">
        <f t="shared" si="3"/>
        <v>#VALUE!</v>
      </c>
      <c r="G19" s="38" t="e">
        <f t="shared" si="3"/>
        <v>#VALUE!</v>
      </c>
      <c r="H19" s="38" t="e">
        <f t="shared" si="3"/>
        <v>#VALUE!</v>
      </c>
      <c r="I19" s="38" t="e">
        <f t="shared" si="3"/>
        <v>#VALUE!</v>
      </c>
      <c r="J19" s="38" t="e">
        <f t="shared" si="3"/>
        <v>#VALUE!</v>
      </c>
      <c r="K19" s="38" t="e">
        <f t="shared" si="3"/>
        <v>#VALUE!</v>
      </c>
      <c r="L19" s="39" t="e">
        <f t="shared" si="3"/>
        <v>#VALUE!</v>
      </c>
      <c r="M19" s="5"/>
    </row>
    <row r="20" spans="1:13" ht="19.5">
      <c r="A20" s="74" t="s">
        <v>81</v>
      </c>
      <c r="B20" s="73" t="s">
        <v>60</v>
      </c>
      <c r="C20" s="38">
        <f>1/(-1.8*LOG10((((0.00015/D_ft)/(3.7))^1.11)+6.9/100000000))^2</f>
        <v>1.3010832797440601E-2</v>
      </c>
      <c r="D20" s="38">
        <f>1/(-1.8*LOG10((((0.00015/D$11)/(3.7))^1.11)+6.9/100000000))^2</f>
        <v>1.3010832797440601E-2</v>
      </c>
      <c r="E20" s="38">
        <f t="shared" ref="E20:L20" si="4">1/(-1.8*LOG10((((0.00015/E$11)/(3.7))^1.11)+6.9/100000000))^2</f>
        <v>1.3010832797440601E-2</v>
      </c>
      <c r="F20" s="38" t="e">
        <f t="shared" si="4"/>
        <v>#VALUE!</v>
      </c>
      <c r="G20" s="38" t="e">
        <f t="shared" si="4"/>
        <v>#VALUE!</v>
      </c>
      <c r="H20" s="38" t="e">
        <f t="shared" si="4"/>
        <v>#VALUE!</v>
      </c>
      <c r="I20" s="38" t="e">
        <f t="shared" si="4"/>
        <v>#VALUE!</v>
      </c>
      <c r="J20" s="38" t="e">
        <f t="shared" si="4"/>
        <v>#VALUE!</v>
      </c>
      <c r="K20" s="38" t="e">
        <f t="shared" si="4"/>
        <v>#VALUE!</v>
      </c>
      <c r="L20" s="38" t="e">
        <f t="shared" si="4"/>
        <v>#VALUE!</v>
      </c>
    </row>
    <row r="21" spans="1:13" ht="15.75">
      <c r="A21" s="77" t="s">
        <v>52</v>
      </c>
      <c r="B21" s="73"/>
      <c r="C21" s="32"/>
      <c r="D21" s="32"/>
      <c r="E21" s="32"/>
      <c r="F21" s="32"/>
      <c r="G21" s="32"/>
      <c r="H21" s="32"/>
      <c r="I21" s="32"/>
      <c r="J21" s="32"/>
      <c r="K21" s="32"/>
      <c r="L21" s="65"/>
    </row>
    <row r="22" spans="1:13">
      <c r="A22" s="78" t="s">
        <v>117</v>
      </c>
      <c r="B22" s="79" t="s">
        <v>61</v>
      </c>
      <c r="C22" s="60">
        <v>1</v>
      </c>
      <c r="D22" s="60">
        <v>1</v>
      </c>
      <c r="E22" s="60">
        <v>1</v>
      </c>
      <c r="F22" s="61"/>
      <c r="G22" s="61"/>
      <c r="H22" s="61"/>
      <c r="I22" s="61"/>
      <c r="J22" s="61"/>
      <c r="K22" s="61"/>
      <c r="L22" s="62"/>
    </row>
    <row r="23" spans="1:13">
      <c r="A23" s="80" t="s">
        <v>32</v>
      </c>
      <c r="B23" s="79" t="s">
        <v>62</v>
      </c>
      <c r="C23" s="60">
        <v>1</v>
      </c>
      <c r="D23" s="60">
        <v>1</v>
      </c>
      <c r="E23" s="60">
        <v>1</v>
      </c>
      <c r="F23" s="61"/>
      <c r="G23" s="61"/>
      <c r="H23" s="61"/>
      <c r="I23" s="61"/>
      <c r="J23" s="61"/>
      <c r="K23" s="61"/>
      <c r="L23" s="62"/>
      <c r="M23" s="2"/>
    </row>
    <row r="24" spans="1:13">
      <c r="A24" s="80" t="s">
        <v>33</v>
      </c>
      <c r="B24" s="79" t="s">
        <v>63</v>
      </c>
      <c r="C24" s="60">
        <v>1</v>
      </c>
      <c r="D24" s="60">
        <v>1</v>
      </c>
      <c r="E24" s="60">
        <v>1</v>
      </c>
      <c r="F24" s="61"/>
      <c r="G24" s="61"/>
      <c r="H24" s="61"/>
      <c r="I24" s="61"/>
      <c r="J24" s="61"/>
      <c r="K24" s="61"/>
      <c r="L24" s="62"/>
      <c r="M24" s="2"/>
    </row>
    <row r="25" spans="1:13">
      <c r="A25" s="80" t="s">
        <v>34</v>
      </c>
      <c r="B25" s="79" t="s">
        <v>64</v>
      </c>
      <c r="C25" s="60">
        <v>1</v>
      </c>
      <c r="D25" s="60">
        <v>1</v>
      </c>
      <c r="E25" s="60">
        <v>1</v>
      </c>
      <c r="F25" s="61"/>
      <c r="G25" s="61"/>
      <c r="H25" s="61"/>
      <c r="I25" s="61"/>
      <c r="J25" s="61"/>
      <c r="K25" s="61"/>
      <c r="L25" s="62"/>
      <c r="M25" s="2"/>
    </row>
    <row r="26" spans="1:13">
      <c r="A26" s="80" t="s">
        <v>35</v>
      </c>
      <c r="B26" s="79" t="s">
        <v>65</v>
      </c>
      <c r="C26" s="60">
        <v>1</v>
      </c>
      <c r="D26" s="60">
        <v>1</v>
      </c>
      <c r="E26" s="60">
        <v>1</v>
      </c>
      <c r="F26" s="61"/>
      <c r="G26" s="61"/>
      <c r="H26" s="61"/>
      <c r="I26" s="61"/>
      <c r="J26" s="61"/>
      <c r="K26" s="61"/>
      <c r="L26" s="62"/>
      <c r="M26" s="2"/>
    </row>
    <row r="27" spans="1:13">
      <c r="A27" s="80" t="s">
        <v>36</v>
      </c>
      <c r="B27" s="79" t="s">
        <v>66</v>
      </c>
      <c r="C27" s="60">
        <v>1</v>
      </c>
      <c r="D27" s="60">
        <v>1</v>
      </c>
      <c r="E27" s="60">
        <v>1</v>
      </c>
      <c r="F27" s="61"/>
      <c r="G27" s="61"/>
      <c r="H27" s="61"/>
      <c r="I27" s="61"/>
      <c r="J27" s="61"/>
      <c r="K27" s="61"/>
      <c r="L27" s="62"/>
      <c r="M27" s="2"/>
    </row>
    <row r="28" spans="1:13">
      <c r="A28" s="80" t="s">
        <v>37</v>
      </c>
      <c r="B28" s="79" t="s">
        <v>67</v>
      </c>
      <c r="C28" s="60">
        <v>1</v>
      </c>
      <c r="D28" s="60">
        <v>1</v>
      </c>
      <c r="E28" s="60">
        <v>1</v>
      </c>
      <c r="F28" s="61"/>
      <c r="G28" s="61"/>
      <c r="H28" s="61"/>
      <c r="I28" s="61"/>
      <c r="J28" s="61"/>
      <c r="K28" s="61"/>
      <c r="L28" s="62"/>
    </row>
    <row r="29" spans="1:13">
      <c r="A29" s="80" t="s">
        <v>18</v>
      </c>
      <c r="B29" s="81" t="s">
        <v>82</v>
      </c>
      <c r="C29" s="60">
        <v>5100</v>
      </c>
      <c r="D29" s="60">
        <v>5100</v>
      </c>
      <c r="E29" s="60">
        <v>5100</v>
      </c>
      <c r="F29" s="61"/>
      <c r="G29" s="61"/>
      <c r="H29" s="61"/>
      <c r="I29" s="61"/>
      <c r="J29" s="61"/>
      <c r="K29" s="61"/>
      <c r="L29" s="62"/>
    </row>
    <row r="30" spans="1:13">
      <c r="A30" s="80" t="s">
        <v>19</v>
      </c>
      <c r="B30" s="81" t="s">
        <v>83</v>
      </c>
      <c r="C30" s="60">
        <v>5100</v>
      </c>
      <c r="D30" s="60">
        <v>5100</v>
      </c>
      <c r="E30" s="60">
        <v>5100</v>
      </c>
      <c r="F30" s="61"/>
      <c r="G30" s="61"/>
      <c r="H30" s="61"/>
      <c r="I30" s="61"/>
      <c r="J30" s="61"/>
      <c r="K30" s="61"/>
      <c r="L30" s="62"/>
    </row>
    <row r="31" spans="1:13">
      <c r="A31" s="80" t="s">
        <v>20</v>
      </c>
      <c r="B31" s="81" t="s">
        <v>84</v>
      </c>
      <c r="C31" s="60">
        <v>5100</v>
      </c>
      <c r="D31" s="60">
        <v>5100</v>
      </c>
      <c r="E31" s="60">
        <v>5100</v>
      </c>
      <c r="F31" s="61"/>
      <c r="G31" s="61"/>
      <c r="H31" s="61"/>
      <c r="I31" s="61"/>
      <c r="J31" s="61"/>
      <c r="K31" s="61"/>
      <c r="L31" s="62"/>
    </row>
    <row r="32" spans="1:13">
      <c r="A32" s="80" t="s">
        <v>21</v>
      </c>
      <c r="B32" s="81" t="s">
        <v>85</v>
      </c>
      <c r="C32" s="60">
        <v>5100</v>
      </c>
      <c r="D32" s="60">
        <v>5100</v>
      </c>
      <c r="E32" s="60">
        <v>5100</v>
      </c>
      <c r="F32" s="61"/>
      <c r="G32" s="61"/>
      <c r="H32" s="61"/>
      <c r="I32" s="61"/>
      <c r="J32" s="61"/>
      <c r="K32" s="61"/>
      <c r="L32" s="62"/>
    </row>
    <row r="33" spans="1:12">
      <c r="A33" s="80" t="s">
        <v>22</v>
      </c>
      <c r="B33" s="81" t="s">
        <v>86</v>
      </c>
      <c r="C33" s="60">
        <v>5100</v>
      </c>
      <c r="D33" s="60">
        <v>5100</v>
      </c>
      <c r="E33" s="60">
        <v>5100</v>
      </c>
      <c r="F33" s="61"/>
      <c r="G33" s="61"/>
      <c r="H33" s="61"/>
      <c r="I33" s="61"/>
      <c r="J33" s="61"/>
      <c r="K33" s="61"/>
      <c r="L33" s="62"/>
    </row>
    <row r="34" spans="1:12">
      <c r="A34" s="80" t="s">
        <v>48</v>
      </c>
      <c r="B34" s="79" t="s">
        <v>68</v>
      </c>
      <c r="C34" s="60">
        <v>0.5</v>
      </c>
      <c r="D34" s="60">
        <v>0.5</v>
      </c>
      <c r="E34" s="60">
        <v>0.5</v>
      </c>
      <c r="F34" s="61"/>
      <c r="G34" s="61"/>
      <c r="H34" s="61"/>
      <c r="I34" s="61"/>
      <c r="J34" s="61"/>
      <c r="K34" s="61"/>
      <c r="L34" s="62"/>
    </row>
    <row r="35" spans="1:12">
      <c r="A35" s="80" t="s">
        <v>38</v>
      </c>
      <c r="B35" s="79" t="s">
        <v>71</v>
      </c>
      <c r="C35" s="60">
        <v>0.5</v>
      </c>
      <c r="D35" s="60">
        <v>0.5</v>
      </c>
      <c r="E35" s="60">
        <v>0.5</v>
      </c>
      <c r="F35" s="61"/>
      <c r="G35" s="61"/>
      <c r="H35" s="61"/>
      <c r="I35" s="61"/>
      <c r="J35" s="61"/>
      <c r="K35" s="61"/>
      <c r="L35" s="62"/>
    </row>
    <row r="36" spans="1:12">
      <c r="A36" s="80" t="s">
        <v>42</v>
      </c>
      <c r="B36" s="79" t="s">
        <v>72</v>
      </c>
      <c r="C36" s="60">
        <v>1</v>
      </c>
      <c r="D36" s="60">
        <v>1</v>
      </c>
      <c r="E36" s="60">
        <v>1</v>
      </c>
      <c r="F36" s="61"/>
      <c r="G36" s="61"/>
      <c r="H36" s="61"/>
      <c r="I36" s="61"/>
      <c r="J36" s="61"/>
      <c r="K36" s="61"/>
      <c r="L36" s="62"/>
    </row>
    <row r="37" spans="1:12">
      <c r="A37" s="80" t="s">
        <v>43</v>
      </c>
      <c r="B37" s="79" t="s">
        <v>73</v>
      </c>
      <c r="C37" s="60">
        <v>1</v>
      </c>
      <c r="D37" s="60">
        <v>1</v>
      </c>
      <c r="E37" s="60">
        <v>1</v>
      </c>
      <c r="F37" s="61"/>
      <c r="G37" s="61"/>
      <c r="H37" s="61"/>
      <c r="I37" s="61"/>
      <c r="J37" s="61"/>
      <c r="K37" s="61"/>
      <c r="L37" s="62"/>
    </row>
    <row r="38" spans="1:12">
      <c r="A38" s="80" t="s">
        <v>44</v>
      </c>
      <c r="B38" s="79" t="s">
        <v>74</v>
      </c>
      <c r="C38" s="60">
        <v>1</v>
      </c>
      <c r="D38" s="60">
        <v>1</v>
      </c>
      <c r="E38" s="60">
        <v>1</v>
      </c>
      <c r="F38" s="61"/>
      <c r="G38" s="61"/>
      <c r="H38" s="61"/>
      <c r="I38" s="61"/>
      <c r="J38" s="61"/>
      <c r="K38" s="61"/>
      <c r="L38" s="62"/>
    </row>
    <row r="39" spans="1:12">
      <c r="A39" s="80" t="s">
        <v>45</v>
      </c>
      <c r="B39" s="79" t="s">
        <v>75</v>
      </c>
      <c r="C39" s="60">
        <v>1</v>
      </c>
      <c r="D39" s="60">
        <v>1</v>
      </c>
      <c r="E39" s="60">
        <v>1</v>
      </c>
      <c r="F39" s="61"/>
      <c r="G39" s="61"/>
      <c r="H39" s="61"/>
      <c r="I39" s="61"/>
      <c r="J39" s="61"/>
      <c r="K39" s="61"/>
      <c r="L39" s="62"/>
    </row>
    <row r="40" spans="1:12">
      <c r="A40" s="80" t="s">
        <v>46</v>
      </c>
      <c r="B40" s="79" t="s">
        <v>76</v>
      </c>
      <c r="C40" s="60">
        <v>1</v>
      </c>
      <c r="D40" s="60">
        <v>1</v>
      </c>
      <c r="E40" s="60">
        <v>1</v>
      </c>
      <c r="F40" s="61"/>
      <c r="G40" s="61"/>
      <c r="H40" s="61"/>
      <c r="I40" s="61"/>
      <c r="J40" s="61"/>
      <c r="K40" s="61"/>
      <c r="L40" s="62"/>
    </row>
    <row r="41" spans="1:12">
      <c r="A41" s="80" t="s">
        <v>50</v>
      </c>
      <c r="B41" s="79" t="s">
        <v>77</v>
      </c>
      <c r="C41" s="60">
        <v>1</v>
      </c>
      <c r="D41" s="60">
        <v>1</v>
      </c>
      <c r="E41" s="60">
        <v>1</v>
      </c>
      <c r="F41" s="61"/>
      <c r="G41" s="61"/>
      <c r="H41" s="61"/>
      <c r="I41" s="61"/>
      <c r="J41" s="61"/>
      <c r="K41" s="61"/>
      <c r="L41" s="62"/>
    </row>
    <row r="42" spans="1:12">
      <c r="A42" s="80" t="s">
        <v>47</v>
      </c>
      <c r="B42" s="79" t="s">
        <v>78</v>
      </c>
      <c r="C42" s="60">
        <v>1</v>
      </c>
      <c r="D42" s="60">
        <v>1</v>
      </c>
      <c r="E42" s="60">
        <v>1</v>
      </c>
      <c r="F42" s="61"/>
      <c r="G42" s="61"/>
      <c r="H42" s="61"/>
      <c r="I42" s="61"/>
      <c r="J42" s="61"/>
      <c r="K42" s="61"/>
      <c r="L42" s="62"/>
    </row>
    <row r="43" spans="1:12" ht="15.75">
      <c r="A43" s="77" t="s">
        <v>26</v>
      </c>
      <c r="B43" s="73"/>
      <c r="C43" s="32"/>
      <c r="D43" s="32"/>
      <c r="E43" s="32"/>
      <c r="F43" s="32"/>
      <c r="G43" s="32"/>
      <c r="H43" s="32"/>
      <c r="I43" s="32"/>
      <c r="J43" s="32"/>
      <c r="K43" s="32"/>
      <c r="L43" s="65"/>
    </row>
    <row r="44" spans="1:12">
      <c r="A44" s="82" t="s">
        <v>112</v>
      </c>
      <c r="B44" s="83"/>
      <c r="C44" s="38">
        <f>IF(d_in=0,0,No_of_Ball*54*f_T)</f>
        <v>0.70258497106179252</v>
      </c>
      <c r="D44" s="38">
        <f t="shared" ref="D44:K44" si="5">IF(D10=0,0,D22*54*D20)</f>
        <v>0.70258497106179252</v>
      </c>
      <c r="E44" s="38">
        <f>IF(E10=0,0,E22*54*E20)</f>
        <v>0.70258497106179252</v>
      </c>
      <c r="F44" s="38">
        <f>IF(F10=0,0,F22*54*F20)</f>
        <v>0</v>
      </c>
      <c r="G44" s="38">
        <f t="shared" si="5"/>
        <v>0</v>
      </c>
      <c r="H44" s="38">
        <f t="shared" si="5"/>
        <v>0</v>
      </c>
      <c r="I44" s="38">
        <f t="shared" si="5"/>
        <v>0</v>
      </c>
      <c r="J44" s="38">
        <f t="shared" si="5"/>
        <v>0</v>
      </c>
      <c r="K44" s="38">
        <f t="shared" si="5"/>
        <v>0</v>
      </c>
      <c r="L44" s="39">
        <f>IF(L10=0,0,L22*54*L20)</f>
        <v>0</v>
      </c>
    </row>
    <row r="45" spans="1:12">
      <c r="A45" s="71" t="s">
        <v>5</v>
      </c>
      <c r="B45" s="83"/>
      <c r="C45" s="48">
        <f>IF(d_in=0,0,No_of_Plug*50*f_T)</f>
        <v>0.65054163987203006</v>
      </c>
      <c r="D45" s="38">
        <f t="shared" ref="D45:K45" si="6">IF(D10=0,0,D23*50*D20)</f>
        <v>0.65054163987203006</v>
      </c>
      <c r="E45" s="38">
        <f>IF(E10=0,0,E23*50*E20)</f>
        <v>0.65054163987203006</v>
      </c>
      <c r="F45" s="38">
        <f t="shared" si="6"/>
        <v>0</v>
      </c>
      <c r="G45" s="38">
        <f t="shared" si="6"/>
        <v>0</v>
      </c>
      <c r="H45" s="38">
        <f t="shared" si="6"/>
        <v>0</v>
      </c>
      <c r="I45" s="38">
        <f t="shared" si="6"/>
        <v>0</v>
      </c>
      <c r="J45" s="38">
        <f t="shared" si="6"/>
        <v>0</v>
      </c>
      <c r="K45" s="38">
        <f t="shared" si="6"/>
        <v>0</v>
      </c>
      <c r="L45" s="39">
        <f>IF(L10=0,0,L23*50*L20)</f>
        <v>0</v>
      </c>
    </row>
    <row r="46" spans="1:12">
      <c r="A46" s="71" t="s">
        <v>6</v>
      </c>
      <c r="B46" s="83"/>
      <c r="C46" s="38">
        <f>IF(d_in=0,0,No_of_Gate*8*f_T)</f>
        <v>0.10408666237952481</v>
      </c>
      <c r="D46" s="38">
        <f>IF(D10=0,0,D24*8*D20)</f>
        <v>0.10408666237952481</v>
      </c>
      <c r="E46" s="38">
        <f t="shared" ref="E46:L46" si="7">IF(E10=0,0,E24*8*E20)</f>
        <v>0.10408666237952481</v>
      </c>
      <c r="F46" s="38">
        <f t="shared" si="7"/>
        <v>0</v>
      </c>
      <c r="G46" s="38">
        <f t="shared" si="7"/>
        <v>0</v>
      </c>
      <c r="H46" s="38">
        <f t="shared" si="7"/>
        <v>0</v>
      </c>
      <c r="I46" s="38">
        <f t="shared" si="7"/>
        <v>0</v>
      </c>
      <c r="J46" s="38">
        <f t="shared" si="7"/>
        <v>0</v>
      </c>
      <c r="K46" s="38">
        <f t="shared" si="7"/>
        <v>0</v>
      </c>
      <c r="L46" s="39">
        <f t="shared" si="7"/>
        <v>0</v>
      </c>
    </row>
    <row r="47" spans="1:12">
      <c r="A47" s="71" t="s">
        <v>7</v>
      </c>
      <c r="B47" s="83"/>
      <c r="C47" s="38">
        <f>IF(d_in=0,0,No_of_Check*83*f_T)</f>
        <v>1.07989912218757</v>
      </c>
      <c r="D47" s="38">
        <f t="shared" ref="D47:K47" si="8">IF(D10=0,0,D25*83*D20)</f>
        <v>1.07989912218757</v>
      </c>
      <c r="E47" s="38">
        <f>IF(E10=0,0,E25*83*E20)</f>
        <v>1.07989912218757</v>
      </c>
      <c r="F47" s="38">
        <f t="shared" si="8"/>
        <v>0</v>
      </c>
      <c r="G47" s="38">
        <f t="shared" si="8"/>
        <v>0</v>
      </c>
      <c r="H47" s="38">
        <f t="shared" si="8"/>
        <v>0</v>
      </c>
      <c r="I47" s="38">
        <f t="shared" si="8"/>
        <v>0</v>
      </c>
      <c r="J47" s="38">
        <f t="shared" si="8"/>
        <v>0</v>
      </c>
      <c r="K47" s="38">
        <f t="shared" si="8"/>
        <v>0</v>
      </c>
      <c r="L47" s="39">
        <f>IF(L10=0,0,L25*83*L20)</f>
        <v>0</v>
      </c>
    </row>
    <row r="48" spans="1:12">
      <c r="A48" s="71" t="s">
        <v>8</v>
      </c>
      <c r="B48" s="83"/>
      <c r="C48" s="38">
        <f>IF(d_in=0,0,No_of_Globe*340*f_T)</f>
        <v>4.4236831511298043</v>
      </c>
      <c r="D48" s="38">
        <f>IF(D10=0,0,D26*340*D20)</f>
        <v>4.4236831511298043</v>
      </c>
      <c r="E48" s="38">
        <f t="shared" ref="E48:L48" si="9">IF(E10=0,0,E26*340*E20)</f>
        <v>4.4236831511298043</v>
      </c>
      <c r="F48" s="38">
        <f t="shared" si="9"/>
        <v>0</v>
      </c>
      <c r="G48" s="38">
        <f t="shared" si="9"/>
        <v>0</v>
      </c>
      <c r="H48" s="38">
        <f t="shared" si="9"/>
        <v>0</v>
      </c>
      <c r="I48" s="38">
        <f t="shared" si="9"/>
        <v>0</v>
      </c>
      <c r="J48" s="38">
        <f t="shared" si="9"/>
        <v>0</v>
      </c>
      <c r="K48" s="38">
        <f t="shared" si="9"/>
        <v>0</v>
      </c>
      <c r="L48" s="39">
        <f t="shared" si="9"/>
        <v>0</v>
      </c>
    </row>
    <row r="49" spans="1:13">
      <c r="A49" s="71" t="s">
        <v>9</v>
      </c>
      <c r="B49" s="83"/>
      <c r="C49" s="38">
        <f>IF(d_in=0,0,No_of_Y_Globe*55*f_T)</f>
        <v>0.71559580385923305</v>
      </c>
      <c r="D49" s="38">
        <f>IF(D10=0,0,D27*55*D20)</f>
        <v>0.71559580385923305</v>
      </c>
      <c r="E49" s="38">
        <f t="shared" ref="E49:L49" si="10">IF(E10=0,0,E27*55*E20)</f>
        <v>0.71559580385923305</v>
      </c>
      <c r="F49" s="38">
        <f t="shared" si="10"/>
        <v>0</v>
      </c>
      <c r="G49" s="38">
        <f t="shared" si="10"/>
        <v>0</v>
      </c>
      <c r="H49" s="38">
        <f t="shared" si="10"/>
        <v>0</v>
      </c>
      <c r="I49" s="38">
        <f t="shared" si="10"/>
        <v>0</v>
      </c>
      <c r="J49" s="38">
        <f t="shared" si="10"/>
        <v>0</v>
      </c>
      <c r="K49" s="38">
        <f t="shared" si="10"/>
        <v>0</v>
      </c>
      <c r="L49" s="39">
        <f t="shared" si="10"/>
        <v>0</v>
      </c>
    </row>
    <row r="50" spans="1:13">
      <c r="A50" s="74" t="s">
        <v>23</v>
      </c>
      <c r="B50" s="83"/>
      <c r="C50" s="38">
        <f>IF(d_in=0,0,No_of_BF*35*f_T)</f>
        <v>0.45537914791042106</v>
      </c>
      <c r="D50" s="38">
        <f>IF(D10=0,0,D28*35*D20)</f>
        <v>0.45537914791042106</v>
      </c>
      <c r="E50" s="38">
        <f t="shared" ref="E50:L50" si="11">IF(E10=0,0,E28*35*E20)</f>
        <v>0.45537914791042106</v>
      </c>
      <c r="F50" s="38">
        <f t="shared" si="11"/>
        <v>0</v>
      </c>
      <c r="G50" s="38">
        <f t="shared" si="11"/>
        <v>0</v>
      </c>
      <c r="H50" s="38">
        <f t="shared" si="11"/>
        <v>0</v>
      </c>
      <c r="I50" s="38">
        <f t="shared" si="11"/>
        <v>0</v>
      </c>
      <c r="J50" s="38">
        <f t="shared" si="11"/>
        <v>0</v>
      </c>
      <c r="K50" s="38">
        <f t="shared" si="11"/>
        <v>0</v>
      </c>
      <c r="L50" s="39">
        <f t="shared" si="11"/>
        <v>0</v>
      </c>
    </row>
    <row r="51" spans="1:13">
      <c r="A51" s="74" t="s">
        <v>27</v>
      </c>
      <c r="B51" s="81"/>
      <c r="C51" s="38">
        <f>IF(Cv_Valve_1=0,0,890.3*d_in^4/Cv_Valve_1^2)</f>
        <v>0.69522009933702777</v>
      </c>
      <c r="D51" s="38">
        <f t="shared" ref="D51:K51" si="12">IF(D29=0,0,890.3*D$10^4/D29^2)</f>
        <v>0.69522009933702777</v>
      </c>
      <c r="E51" s="38">
        <f>IF(E29=0,0,890.3*E$10^4/E29^2)</f>
        <v>0.69522009933702777</v>
      </c>
      <c r="F51" s="38">
        <f t="shared" si="12"/>
        <v>0</v>
      </c>
      <c r="G51" s="38">
        <f t="shared" si="12"/>
        <v>0</v>
      </c>
      <c r="H51" s="38">
        <f t="shared" si="12"/>
        <v>0</v>
      </c>
      <c r="I51" s="38">
        <f t="shared" si="12"/>
        <v>0</v>
      </c>
      <c r="J51" s="38">
        <f t="shared" si="12"/>
        <v>0</v>
      </c>
      <c r="K51" s="38">
        <f t="shared" si="12"/>
        <v>0</v>
      </c>
      <c r="L51" s="39">
        <f>IF(L29=0,0,890.3*L$10^4/L29^2)</f>
        <v>0</v>
      </c>
    </row>
    <row r="52" spans="1:13">
      <c r="A52" s="74" t="s">
        <v>28</v>
      </c>
      <c r="B52" s="81"/>
      <c r="C52" s="38">
        <f>IF(Cv_Valve_2=0,0,890.3*d_in^4/Cv_Valve_2^2)</f>
        <v>0.69522009933702777</v>
      </c>
      <c r="D52" s="38">
        <f t="shared" ref="D52:K52" si="13">IF(D30=0,0,890.3*D$10^4/D30^2)</f>
        <v>0.69522009933702777</v>
      </c>
      <c r="E52" s="38">
        <f>IF(E30=0,0,890.3*E$10^4/E30^2)</f>
        <v>0.69522009933702777</v>
      </c>
      <c r="F52" s="38">
        <f t="shared" si="13"/>
        <v>0</v>
      </c>
      <c r="G52" s="38">
        <f t="shared" si="13"/>
        <v>0</v>
      </c>
      <c r="H52" s="38">
        <f t="shared" si="13"/>
        <v>0</v>
      </c>
      <c r="I52" s="38">
        <f t="shared" si="13"/>
        <v>0</v>
      </c>
      <c r="J52" s="38">
        <f t="shared" si="13"/>
        <v>0</v>
      </c>
      <c r="K52" s="38">
        <f t="shared" si="13"/>
        <v>0</v>
      </c>
      <c r="L52" s="39">
        <f>IF(L30=0,0,890.3*L$10^4/L30^2)</f>
        <v>0</v>
      </c>
      <c r="M52" s="3"/>
    </row>
    <row r="53" spans="1:13">
      <c r="A53" s="74" t="s">
        <v>29</v>
      </c>
      <c r="B53" s="81"/>
      <c r="C53" s="38">
        <f>IF(Cv_Valve_3=0,0,890.3*d_in^4/Cv_Valve_3^2)</f>
        <v>0.69522009933702777</v>
      </c>
      <c r="D53" s="38">
        <f t="shared" ref="D53:K53" si="14">IF(D31=0,0,890.3*D$10^4/D31^2)</f>
        <v>0.69522009933702777</v>
      </c>
      <c r="E53" s="38">
        <f>IF(E31=0,0,890.3*E$10^4/E31^2)</f>
        <v>0.69522009933702777</v>
      </c>
      <c r="F53" s="38">
        <f t="shared" si="14"/>
        <v>0</v>
      </c>
      <c r="G53" s="38">
        <f t="shared" si="14"/>
        <v>0</v>
      </c>
      <c r="H53" s="38">
        <f t="shared" si="14"/>
        <v>0</v>
      </c>
      <c r="I53" s="38">
        <f t="shared" si="14"/>
        <v>0</v>
      </c>
      <c r="J53" s="38">
        <f t="shared" si="14"/>
        <v>0</v>
      </c>
      <c r="K53" s="38">
        <f t="shared" si="14"/>
        <v>0</v>
      </c>
      <c r="L53" s="39">
        <f>IF(L31=0,0,890.3*L$10^4/L31^2)</f>
        <v>0</v>
      </c>
    </row>
    <row r="54" spans="1:13">
      <c r="A54" s="74" t="s">
        <v>30</v>
      </c>
      <c r="B54" s="81"/>
      <c r="C54" s="38">
        <f>IF(Cv_Valve_4=0,0,890.3*d_in^4/Cv_Valve_4^2)</f>
        <v>0.69522009933702777</v>
      </c>
      <c r="D54" s="38">
        <f t="shared" ref="D54:K54" si="15">IF(D32=0,0,890.3*D$10^4/D32^2)</f>
        <v>0.69522009933702777</v>
      </c>
      <c r="E54" s="38">
        <f>IF(E32=0,0,890.3*E$10^4/E32^2)</f>
        <v>0.69522009933702777</v>
      </c>
      <c r="F54" s="38">
        <f t="shared" si="15"/>
        <v>0</v>
      </c>
      <c r="G54" s="38">
        <f t="shared" si="15"/>
        <v>0</v>
      </c>
      <c r="H54" s="38">
        <f t="shared" si="15"/>
        <v>0</v>
      </c>
      <c r="I54" s="38">
        <f t="shared" si="15"/>
        <v>0</v>
      </c>
      <c r="J54" s="38">
        <f t="shared" si="15"/>
        <v>0</v>
      </c>
      <c r="K54" s="38">
        <f t="shared" si="15"/>
        <v>0</v>
      </c>
      <c r="L54" s="39">
        <f>IF(L32=0,0,890.3*L$10^4/L32^2)</f>
        <v>0</v>
      </c>
    </row>
    <row r="55" spans="1:13">
      <c r="A55" s="74" t="s">
        <v>31</v>
      </c>
      <c r="B55" s="81"/>
      <c r="C55" s="38">
        <f>IF(Cv_Valve_5=0,0,890.3*d_in^4/Cv_Valve_5^2)</f>
        <v>0.69522009933702777</v>
      </c>
      <c r="D55" s="38">
        <f t="shared" ref="D55:K55" si="16">IF(D33=0,0,890.3*D$10^4/D33^2)</f>
        <v>0.69522009933702777</v>
      </c>
      <c r="E55" s="38">
        <f>IF(E33=0,0,890.3*E$10^4/E33^2)</f>
        <v>0.69522009933702777</v>
      </c>
      <c r="F55" s="38">
        <f t="shared" si="16"/>
        <v>0</v>
      </c>
      <c r="G55" s="38">
        <f t="shared" si="16"/>
        <v>0</v>
      </c>
      <c r="H55" s="38">
        <f t="shared" si="16"/>
        <v>0</v>
      </c>
      <c r="I55" s="38">
        <f t="shared" si="16"/>
        <v>0</v>
      </c>
      <c r="J55" s="38">
        <f t="shared" si="16"/>
        <v>0</v>
      </c>
      <c r="K55" s="38">
        <f t="shared" si="16"/>
        <v>0</v>
      </c>
      <c r="L55" s="39">
        <f>IF(L33=0,0,890.3*L$10^4/L33^2)</f>
        <v>0</v>
      </c>
    </row>
    <row r="56" spans="1:13">
      <c r="A56" s="74" t="s">
        <v>24</v>
      </c>
      <c r="B56" s="83"/>
      <c r="C56" s="38">
        <f>IF(Red_Beta=0,0,0.5*(1-Red_Beta^2)^2+1-Red_Beta^4)</f>
        <v>1.21875</v>
      </c>
      <c r="D56" s="38">
        <f t="shared" ref="D56:K56" si="17">IF(D34=0,0,0.5*(1-D34^2)^2+1-D34^4)</f>
        <v>1.21875</v>
      </c>
      <c r="E56" s="38">
        <f>IF(E34=0,0,0.5*(1-E34^2)^2+1-E34^4)</f>
        <v>1.21875</v>
      </c>
      <c r="F56" s="38">
        <f t="shared" si="17"/>
        <v>0</v>
      </c>
      <c r="G56" s="38">
        <f t="shared" si="17"/>
        <v>0</v>
      </c>
      <c r="H56" s="38">
        <f t="shared" si="17"/>
        <v>0</v>
      </c>
      <c r="I56" s="38">
        <f t="shared" si="17"/>
        <v>0</v>
      </c>
      <c r="J56" s="38">
        <f t="shared" si="17"/>
        <v>0</v>
      </c>
      <c r="K56" s="38">
        <f t="shared" si="17"/>
        <v>0</v>
      </c>
      <c r="L56" s="39">
        <f>IF(L34=0,0,0.5*(1-L34^2)^2+1-L34^4)</f>
        <v>0</v>
      </c>
    </row>
    <row r="57" spans="1:13">
      <c r="A57" s="74" t="s">
        <v>25</v>
      </c>
      <c r="B57" s="83"/>
      <c r="C57" s="38">
        <f>IF(Exp_Beta=0,0,1*(1-Exp_Beta^2)^2-(1-Exp_Beta^4))</f>
        <v>-0.375</v>
      </c>
      <c r="D57" s="38">
        <f t="shared" ref="D57:K57" si="18">IF(D35=0,0,1*(1-D35^2)^2-(1-D35^4))</f>
        <v>-0.375</v>
      </c>
      <c r="E57" s="38">
        <f>IF(E35=0,0,1*(1-E35^2)^2-(1-E35^4))</f>
        <v>-0.375</v>
      </c>
      <c r="F57" s="38">
        <f t="shared" si="18"/>
        <v>0</v>
      </c>
      <c r="G57" s="38">
        <f t="shared" si="18"/>
        <v>0</v>
      </c>
      <c r="H57" s="38">
        <f t="shared" si="18"/>
        <v>0</v>
      </c>
      <c r="I57" s="38">
        <f t="shared" si="18"/>
        <v>0</v>
      </c>
      <c r="J57" s="38">
        <f t="shared" si="18"/>
        <v>0</v>
      </c>
      <c r="K57" s="38">
        <f t="shared" si="18"/>
        <v>0</v>
      </c>
      <c r="L57" s="39">
        <f>IF(L35=0,0,1*(1-L35^2)^2-(1-L35^4))</f>
        <v>0</v>
      </c>
    </row>
    <row r="58" spans="1:13">
      <c r="A58" s="71" t="s">
        <v>10</v>
      </c>
      <c r="B58" s="83"/>
      <c r="C58" s="38">
        <f>IF(d_in=0,0,No_of_LR_90L*20*f_T)</f>
        <v>0.26021665594881205</v>
      </c>
      <c r="D58" s="38">
        <f t="shared" ref="D58:K58" si="19">IF(D10=0,0,D36*20*D20)</f>
        <v>0.26021665594881205</v>
      </c>
      <c r="E58" s="38">
        <f>IF(E10=0,0,E36*20*E20)</f>
        <v>0.26021665594881205</v>
      </c>
      <c r="F58" s="38">
        <f t="shared" si="19"/>
        <v>0</v>
      </c>
      <c r="G58" s="38">
        <f t="shared" si="19"/>
        <v>0</v>
      </c>
      <c r="H58" s="38">
        <f t="shared" si="19"/>
        <v>0</v>
      </c>
      <c r="I58" s="38">
        <f t="shared" si="19"/>
        <v>0</v>
      </c>
      <c r="J58" s="38">
        <f t="shared" si="19"/>
        <v>0</v>
      </c>
      <c r="K58" s="38">
        <f t="shared" si="19"/>
        <v>0</v>
      </c>
      <c r="L58" s="39">
        <f>IF(L10=0,0,L36*20*L20)</f>
        <v>0</v>
      </c>
    </row>
    <row r="59" spans="1:13">
      <c r="A59" s="71" t="s">
        <v>11</v>
      </c>
      <c r="B59" s="83"/>
      <c r="C59" s="38">
        <f>IF(d_in=0,0,f_T*30*No_of_Std_90L)</f>
        <v>0.39032498392321802</v>
      </c>
      <c r="D59" s="38">
        <f t="shared" ref="D59:K59" si="20">IF(D10=0,0,D20*30*D37)</f>
        <v>0.39032498392321802</v>
      </c>
      <c r="E59" s="38">
        <f>IF(E10=0,0,E20*30*E37)</f>
        <v>0.39032498392321802</v>
      </c>
      <c r="F59" s="38">
        <f t="shared" si="20"/>
        <v>0</v>
      </c>
      <c r="G59" s="38">
        <f t="shared" si="20"/>
        <v>0</v>
      </c>
      <c r="H59" s="38">
        <f t="shared" si="20"/>
        <v>0</v>
      </c>
      <c r="I59" s="38">
        <f t="shared" si="20"/>
        <v>0</v>
      </c>
      <c r="J59" s="38">
        <f t="shared" si="20"/>
        <v>0</v>
      </c>
      <c r="K59" s="38">
        <f t="shared" si="20"/>
        <v>0</v>
      </c>
      <c r="L59" s="39">
        <f>IF(L10=0,0,L20*30*L37)</f>
        <v>0</v>
      </c>
    </row>
    <row r="60" spans="1:13">
      <c r="A60" s="71" t="s">
        <v>12</v>
      </c>
      <c r="B60" s="83"/>
      <c r="C60" s="38">
        <f>IF(d_in=0,0,f_T*16*No_of_45L)</f>
        <v>0.20817332475904962</v>
      </c>
      <c r="D60" s="38">
        <f t="shared" ref="D60:K60" si="21">IF(D10=0,0,D20*16*D38)</f>
        <v>0.20817332475904962</v>
      </c>
      <c r="E60" s="38">
        <f>IF(E10=0,0,E20*16*E38)</f>
        <v>0.20817332475904962</v>
      </c>
      <c r="F60" s="38">
        <f t="shared" si="21"/>
        <v>0</v>
      </c>
      <c r="G60" s="38">
        <f t="shared" si="21"/>
        <v>0</v>
      </c>
      <c r="H60" s="38">
        <f t="shared" si="21"/>
        <v>0</v>
      </c>
      <c r="I60" s="38">
        <f t="shared" si="21"/>
        <v>0</v>
      </c>
      <c r="J60" s="38">
        <f t="shared" si="21"/>
        <v>0</v>
      </c>
      <c r="K60" s="38">
        <f t="shared" si="21"/>
        <v>0</v>
      </c>
      <c r="L60" s="39">
        <f>IF(L10=0,0,L20*16*L38)</f>
        <v>0</v>
      </c>
    </row>
    <row r="61" spans="1:13">
      <c r="A61" s="71" t="s">
        <v>13</v>
      </c>
      <c r="B61" s="83"/>
      <c r="C61" s="38">
        <f>IF(d_in=0,0,f_T*60*No_of_T_Brnch)</f>
        <v>0.78064996784643603</v>
      </c>
      <c r="D61" s="38">
        <f t="shared" ref="D61:K61" si="22">IF(D10=0,0,D20*60*D39)</f>
        <v>0.78064996784643603</v>
      </c>
      <c r="E61" s="38">
        <f>IF(E10=0,0,E20*60*E39)</f>
        <v>0.78064996784643603</v>
      </c>
      <c r="F61" s="38">
        <f t="shared" si="22"/>
        <v>0</v>
      </c>
      <c r="G61" s="38">
        <f t="shared" si="22"/>
        <v>0</v>
      </c>
      <c r="H61" s="38">
        <f t="shared" si="22"/>
        <v>0</v>
      </c>
      <c r="I61" s="38">
        <f t="shared" si="22"/>
        <v>0</v>
      </c>
      <c r="J61" s="38">
        <f t="shared" si="22"/>
        <v>0</v>
      </c>
      <c r="K61" s="38">
        <f t="shared" si="22"/>
        <v>0</v>
      </c>
      <c r="L61" s="39">
        <f>IF(L10=0,0,L20*60*L39)</f>
        <v>0</v>
      </c>
    </row>
    <row r="62" spans="1:13">
      <c r="A62" s="71" t="s">
        <v>14</v>
      </c>
      <c r="B62" s="83"/>
      <c r="C62" s="38">
        <f>IF(d_in=0,0,f_T*20*No_of_T_Strt)</f>
        <v>0.26021665594881205</v>
      </c>
      <c r="D62" s="38">
        <f t="shared" ref="D62:K62" si="23">IF(D10=0,0,D20*20*D40)</f>
        <v>0.26021665594881205</v>
      </c>
      <c r="E62" s="38">
        <f>IF(E10=0,0,E20*20*E40)</f>
        <v>0.26021665594881205</v>
      </c>
      <c r="F62" s="38">
        <f t="shared" si="23"/>
        <v>0</v>
      </c>
      <c r="G62" s="38">
        <f t="shared" si="23"/>
        <v>0</v>
      </c>
      <c r="H62" s="38">
        <f t="shared" si="23"/>
        <v>0</v>
      </c>
      <c r="I62" s="38">
        <f t="shared" si="23"/>
        <v>0</v>
      </c>
      <c r="J62" s="38">
        <f t="shared" si="23"/>
        <v>0</v>
      </c>
      <c r="K62" s="38">
        <f t="shared" si="23"/>
        <v>0</v>
      </c>
      <c r="L62" s="39">
        <f>IF(L10=0,0,L20*20*L40)</f>
        <v>0</v>
      </c>
    </row>
    <row r="63" spans="1:13">
      <c r="A63" s="74" t="s">
        <v>40</v>
      </c>
      <c r="B63" s="83"/>
      <c r="C63" s="38">
        <f>No_of_Entrance*0.5</f>
        <v>0.5</v>
      </c>
      <c r="D63" s="38">
        <f t="shared" ref="D63:K63" si="24">D41*0.5</f>
        <v>0.5</v>
      </c>
      <c r="E63" s="38">
        <f>E41*0.5</f>
        <v>0.5</v>
      </c>
      <c r="F63" s="38">
        <f t="shared" si="24"/>
        <v>0</v>
      </c>
      <c r="G63" s="38">
        <f t="shared" si="24"/>
        <v>0</v>
      </c>
      <c r="H63" s="38">
        <f t="shared" si="24"/>
        <v>0</v>
      </c>
      <c r="I63" s="38">
        <f t="shared" si="24"/>
        <v>0</v>
      </c>
      <c r="J63" s="38">
        <f t="shared" si="24"/>
        <v>0</v>
      </c>
      <c r="K63" s="38">
        <f t="shared" si="24"/>
        <v>0</v>
      </c>
      <c r="L63" s="39">
        <f>L41*0.5</f>
        <v>0</v>
      </c>
    </row>
    <row r="64" spans="1:13">
      <c r="A64" s="74" t="s">
        <v>41</v>
      </c>
      <c r="B64" s="83"/>
      <c r="C64" s="38">
        <f>No_of_Exit*1</f>
        <v>1</v>
      </c>
      <c r="D64" s="38">
        <f t="shared" ref="D64:K64" si="25">D42*1</f>
        <v>1</v>
      </c>
      <c r="E64" s="38">
        <f>E42*1</f>
        <v>1</v>
      </c>
      <c r="F64" s="38">
        <f t="shared" si="25"/>
        <v>0</v>
      </c>
      <c r="G64" s="38">
        <f t="shared" si="25"/>
        <v>0</v>
      </c>
      <c r="H64" s="38">
        <f t="shared" si="25"/>
        <v>0</v>
      </c>
      <c r="I64" s="38">
        <f t="shared" si="25"/>
        <v>0</v>
      </c>
      <c r="J64" s="38">
        <f t="shared" si="25"/>
        <v>0</v>
      </c>
      <c r="K64" s="38">
        <f t="shared" si="25"/>
        <v>0</v>
      </c>
      <c r="L64" s="39">
        <f>L42*1</f>
        <v>0</v>
      </c>
    </row>
    <row r="65" spans="1:14">
      <c r="A65" s="74" t="s">
        <v>49</v>
      </c>
      <c r="B65" s="73"/>
      <c r="C65" s="58"/>
      <c r="D65" s="58"/>
      <c r="E65" s="58"/>
      <c r="F65" s="58"/>
      <c r="G65" s="58"/>
      <c r="H65" s="58"/>
      <c r="I65" s="58"/>
      <c r="J65" s="58"/>
      <c r="K65" s="58"/>
      <c r="L65" s="59"/>
    </row>
    <row r="66" spans="1:14">
      <c r="A66" s="71"/>
      <c r="B66" s="84"/>
      <c r="C66" s="66"/>
      <c r="D66" s="66"/>
      <c r="E66" s="32"/>
      <c r="F66" s="32"/>
      <c r="G66" s="32"/>
      <c r="H66" s="32"/>
      <c r="I66" s="32"/>
      <c r="J66" s="32"/>
      <c r="K66" s="32"/>
      <c r="L66" s="65"/>
    </row>
    <row r="67" spans="1:14">
      <c r="A67" s="74" t="s">
        <v>51</v>
      </c>
      <c r="B67" s="73"/>
      <c r="C67" s="38">
        <f>f*L/D_ft</f>
        <v>1.3745830338135498</v>
      </c>
      <c r="D67" s="38">
        <f t="shared" ref="D67:L67" si="26">D19*D12/D11</f>
        <v>1.3745830338135498</v>
      </c>
      <c r="E67" s="38">
        <f t="shared" si="26"/>
        <v>1.3745830338135498</v>
      </c>
      <c r="F67" s="38" t="e">
        <f t="shared" si="26"/>
        <v>#VALUE!</v>
      </c>
      <c r="G67" s="38" t="e">
        <f t="shared" si="26"/>
        <v>#VALUE!</v>
      </c>
      <c r="H67" s="38" t="e">
        <f t="shared" si="26"/>
        <v>#VALUE!</v>
      </c>
      <c r="I67" s="38" t="e">
        <f t="shared" si="26"/>
        <v>#VALUE!</v>
      </c>
      <c r="J67" s="38" t="e">
        <f t="shared" si="26"/>
        <v>#VALUE!</v>
      </c>
      <c r="K67" s="38" t="e">
        <f t="shared" si="26"/>
        <v>#VALUE!</v>
      </c>
      <c r="L67" s="39" t="e">
        <f t="shared" si="26"/>
        <v>#VALUE!</v>
      </c>
    </row>
    <row r="68" spans="1:14">
      <c r="A68" s="74" t="s">
        <v>94</v>
      </c>
      <c r="B68" s="73" t="s">
        <v>107</v>
      </c>
      <c r="C68" s="38">
        <f t="shared" ref="C68:L68" si="27">SUM(C44:C67)</f>
        <v>17.225785617325396</v>
      </c>
      <c r="D68" s="38">
        <f t="shared" si="27"/>
        <v>17.225785617325396</v>
      </c>
      <c r="E68" s="38">
        <f t="shared" si="27"/>
        <v>17.225785617325396</v>
      </c>
      <c r="F68" s="38" t="e">
        <f t="shared" si="27"/>
        <v>#VALUE!</v>
      </c>
      <c r="G68" s="38" t="e">
        <f t="shared" si="27"/>
        <v>#VALUE!</v>
      </c>
      <c r="H68" s="38" t="e">
        <f t="shared" si="27"/>
        <v>#VALUE!</v>
      </c>
      <c r="I68" s="38" t="e">
        <f t="shared" si="27"/>
        <v>#VALUE!</v>
      </c>
      <c r="J68" s="38" t="e">
        <f t="shared" si="27"/>
        <v>#VALUE!</v>
      </c>
      <c r="K68" s="38" t="e">
        <f t="shared" si="27"/>
        <v>#VALUE!</v>
      </c>
      <c r="L68" s="39" t="e">
        <f t="shared" si="27"/>
        <v>#VALUE!</v>
      </c>
    </row>
    <row r="69" spans="1:14">
      <c r="A69" s="74" t="s">
        <v>101</v>
      </c>
      <c r="B69" s="73" t="s">
        <v>97</v>
      </c>
      <c r="C69" s="55"/>
      <c r="D69" s="55">
        <v>10</v>
      </c>
      <c r="E69" s="55">
        <v>-10</v>
      </c>
      <c r="F69" s="55"/>
      <c r="G69" s="55"/>
      <c r="H69" s="55"/>
      <c r="I69" s="55"/>
      <c r="J69" s="55"/>
      <c r="K69" s="55"/>
      <c r="L69" s="57"/>
    </row>
    <row r="70" spans="1:14">
      <c r="A70" s="71" t="s">
        <v>15</v>
      </c>
      <c r="B70" s="73" t="s">
        <v>95</v>
      </c>
      <c r="C70" s="49">
        <f>IF(C10*C12*C13*C15*C16*C17=0,"",(Total_K*Rho*Q^2)/(55525*d_in^4))+(Delta_h*Rho/144)</f>
        <v>34.292617558629736</v>
      </c>
      <c r="D70" s="49">
        <f t="shared" ref="D70:L70" si="28">IF(D10*D12*D13*D15*D16*D17=0,"",(D68*D14*D15^2)/(55525*D10^4))+D69*D14/144</f>
        <v>38.623450891963067</v>
      </c>
      <c r="E70" s="49">
        <f t="shared" si="28"/>
        <v>29.961784225296402</v>
      </c>
      <c r="F70" s="49" t="e">
        <f t="shared" si="28"/>
        <v>#VALUE!</v>
      </c>
      <c r="G70" s="49" t="e">
        <f t="shared" si="28"/>
        <v>#VALUE!</v>
      </c>
      <c r="H70" s="49" t="e">
        <f t="shared" si="28"/>
        <v>#VALUE!</v>
      </c>
      <c r="I70" s="49" t="e">
        <f t="shared" si="28"/>
        <v>#VALUE!</v>
      </c>
      <c r="J70" s="49" t="e">
        <f t="shared" si="28"/>
        <v>#VALUE!</v>
      </c>
      <c r="K70" s="49" t="e">
        <f t="shared" si="28"/>
        <v>#VALUE!</v>
      </c>
      <c r="L70" s="50" t="e">
        <f t="shared" si="28"/>
        <v>#VALUE!</v>
      </c>
    </row>
    <row r="71" spans="1:14">
      <c r="A71" s="71" t="s">
        <v>4</v>
      </c>
      <c r="B71" s="84"/>
      <c r="C71" s="51">
        <f>IF(C10*C12*C13*C15*C16*C17=0,"",0.4085*Q/d_in^2)</f>
        <v>17.19808781401175</v>
      </c>
      <c r="D71" s="51">
        <f t="shared" ref="D71:L71" si="29">IF(D10*D12*D13*D15*D16*D17=0,"",0.4085*D15/D10^2)</f>
        <v>17.19808781401175</v>
      </c>
      <c r="E71" s="51">
        <f t="shared" si="29"/>
        <v>17.19808781401175</v>
      </c>
      <c r="F71" s="51" t="str">
        <f t="shared" si="29"/>
        <v/>
      </c>
      <c r="G71" s="51" t="str">
        <f t="shared" si="29"/>
        <v/>
      </c>
      <c r="H71" s="51" t="str">
        <f t="shared" si="29"/>
        <v/>
      </c>
      <c r="I71" s="51" t="str">
        <f t="shared" si="29"/>
        <v/>
      </c>
      <c r="J71" s="51" t="str">
        <f t="shared" si="29"/>
        <v/>
      </c>
      <c r="K71" s="51" t="str">
        <f t="shared" si="29"/>
        <v/>
      </c>
      <c r="L71" s="52" t="str">
        <f t="shared" si="29"/>
        <v/>
      </c>
    </row>
    <row r="72" spans="1:14" ht="15.75">
      <c r="A72" s="77" t="s">
        <v>114</v>
      </c>
      <c r="B72" s="85"/>
      <c r="C72" s="32"/>
      <c r="D72" s="32"/>
      <c r="E72" s="32"/>
      <c r="F72" s="32"/>
      <c r="G72" s="32"/>
      <c r="H72" s="32"/>
      <c r="I72" s="32"/>
      <c r="J72" s="32"/>
      <c r="K72" s="32"/>
      <c r="L72" s="65"/>
    </row>
    <row r="73" spans="1:14">
      <c r="A73" s="74" t="s">
        <v>99</v>
      </c>
      <c r="B73" s="73" t="s">
        <v>96</v>
      </c>
      <c r="C73" s="55">
        <v>100</v>
      </c>
      <c r="D73" s="55">
        <v>100</v>
      </c>
      <c r="E73" s="55">
        <v>100</v>
      </c>
      <c r="F73" s="55"/>
      <c r="G73" s="56"/>
      <c r="H73" s="55"/>
      <c r="I73" s="55"/>
      <c r="J73" s="55"/>
      <c r="K73" s="55"/>
      <c r="L73" s="57"/>
    </row>
    <row r="74" spans="1:14" ht="16.5" thickBot="1">
      <c r="A74" s="86" t="s">
        <v>100</v>
      </c>
      <c r="B74" s="87" t="s">
        <v>98</v>
      </c>
      <c r="C74" s="53">
        <f>IF(C10*C12*C13*C15*C16*C17*C73=0,"",P_1-Delta_P)</f>
        <v>65.707382441370271</v>
      </c>
      <c r="D74" s="53">
        <f t="shared" ref="D74:L74" si="30">IF(D10*D12*D13*D15*D16*D17*D73=0,"",D73-D70)</f>
        <v>61.376549108036933</v>
      </c>
      <c r="E74" s="53">
        <f t="shared" si="30"/>
        <v>70.038215774703602</v>
      </c>
      <c r="F74" s="53" t="str">
        <f t="shared" si="30"/>
        <v/>
      </c>
      <c r="G74" s="53" t="str">
        <f t="shared" si="30"/>
        <v/>
      </c>
      <c r="H74" s="53" t="str">
        <f t="shared" si="30"/>
        <v/>
      </c>
      <c r="I74" s="53" t="str">
        <f t="shared" si="30"/>
        <v/>
      </c>
      <c r="J74" s="53" t="str">
        <f t="shared" si="30"/>
        <v/>
      </c>
      <c r="K74" s="53" t="str">
        <f t="shared" si="30"/>
        <v/>
      </c>
      <c r="L74" s="54" t="str">
        <f t="shared" si="30"/>
        <v/>
      </c>
    </row>
    <row r="75" spans="1:14" ht="15.75" thickTop="1"/>
    <row r="76" spans="1:14">
      <c r="N76" s="7"/>
    </row>
    <row r="77" spans="1:14" ht="15.75">
      <c r="A77" s="8" t="s">
        <v>108</v>
      </c>
    </row>
    <row r="78" spans="1:14" ht="15.75">
      <c r="A78" s="8" t="s">
        <v>109</v>
      </c>
      <c r="B78" s="5"/>
      <c r="C78" s="5"/>
      <c r="D78" s="5"/>
      <c r="E78" s="5"/>
      <c r="F78" s="5"/>
      <c r="G78" s="5"/>
      <c r="H78" s="5"/>
      <c r="I78" s="5"/>
      <c r="J78" s="5"/>
      <c r="K78" s="5"/>
      <c r="L78" s="5"/>
    </row>
    <row r="79" spans="1:14">
      <c r="B79" s="5"/>
      <c r="D79" s="5"/>
      <c r="E79" s="5"/>
      <c r="F79" s="5"/>
      <c r="G79" s="5"/>
      <c r="H79" s="5"/>
      <c r="I79" s="5"/>
      <c r="J79" s="5"/>
      <c r="K79" s="5"/>
      <c r="L79" s="5"/>
    </row>
    <row r="80" spans="1:14">
      <c r="A80" s="4" t="s">
        <v>104</v>
      </c>
      <c r="B80" s="5"/>
      <c r="C80" s="5"/>
      <c r="D80" s="5"/>
      <c r="E80" s="5"/>
      <c r="F80" s="5"/>
      <c r="G80" s="5"/>
      <c r="H80" s="5"/>
      <c r="I80" s="5"/>
      <c r="J80" s="5"/>
      <c r="K80" s="5"/>
      <c r="L80" s="5"/>
    </row>
    <row r="81" spans="1:12">
      <c r="A81" s="4" t="s">
        <v>105</v>
      </c>
      <c r="B81" s="6"/>
      <c r="C81" s="5"/>
      <c r="D81" s="5"/>
      <c r="E81" s="5"/>
      <c r="F81" s="5"/>
      <c r="G81" s="5"/>
      <c r="H81" s="5"/>
      <c r="I81" s="5"/>
      <c r="J81" s="5"/>
      <c r="K81" s="5"/>
      <c r="L81" s="5"/>
    </row>
    <row r="82" spans="1:12">
      <c r="A82" s="1" t="s">
        <v>113</v>
      </c>
      <c r="B82" s="5"/>
      <c r="C82" s="5"/>
      <c r="D82" s="5"/>
      <c r="E82" s="5"/>
      <c r="F82" s="5"/>
      <c r="G82" s="5"/>
      <c r="H82" s="5"/>
      <c r="I82" s="5"/>
      <c r="J82" s="5"/>
      <c r="K82" s="5"/>
      <c r="L82" s="5"/>
    </row>
    <row r="83" spans="1:12">
      <c r="A83" s="1" t="s">
        <v>106</v>
      </c>
      <c r="B83" s="5"/>
    </row>
    <row r="84" spans="1:12">
      <c r="B84" s="5"/>
    </row>
    <row r="85" spans="1:12">
      <c r="B85" s="5"/>
    </row>
    <row r="86" spans="1:12">
      <c r="B86" s="5"/>
    </row>
    <row r="87" spans="1:12">
      <c r="B87" s="5"/>
    </row>
    <row r="98" spans="1:2" ht="19.5">
      <c r="A98" s="3" t="s">
        <v>17</v>
      </c>
    </row>
    <row r="99" spans="1:2">
      <c r="A99" s="3" t="s">
        <v>111</v>
      </c>
      <c r="B99" s="3"/>
    </row>
    <row r="100" spans="1:2">
      <c r="A100" s="3" t="s">
        <v>16</v>
      </c>
      <c r="B100" s="3"/>
    </row>
    <row r="101" spans="1:2">
      <c r="B101" s="3"/>
    </row>
    <row r="102" spans="1:2">
      <c r="A102" s="1" t="s">
        <v>118</v>
      </c>
    </row>
  </sheetData>
  <sheetProtection password="8E81" sheet="1" objects="1" scenarios="1" formatCells="0" formatColumns="0"/>
  <mergeCells count="4">
    <mergeCell ref="K2:L2"/>
    <mergeCell ref="K3:L3"/>
    <mergeCell ref="K4:L4"/>
    <mergeCell ref="K5:L5"/>
  </mergeCells>
  <conditionalFormatting sqref="C18:L20">
    <cfRule type="expression" dxfId="2" priority="2">
      <formula>ISERROR(C18:L20)</formula>
    </cfRule>
  </conditionalFormatting>
  <conditionalFormatting sqref="C67:L68">
    <cfRule type="expression" dxfId="1" priority="3">
      <formula>ISERROR(C67:L68)</formula>
    </cfRule>
  </conditionalFormatting>
  <conditionalFormatting sqref="C70:L70">
    <cfRule type="expression" dxfId="0" priority="1" stopIfTrue="1">
      <formula>ISERROR(C70:L70)</formula>
    </cfRule>
  </conditionalFormatting>
  <pageMargins left="0.5" right="0.5" top="0.5" bottom="0.5"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workbookViewId="0">
      <selection activeCell="I19" sqref="I19"/>
    </sheetView>
  </sheetViews>
  <sheetFormatPr defaultRowHeight="15"/>
  <cols>
    <col min="1" max="1" width="8.88671875" customWidth="1"/>
  </cols>
  <sheetData>
    <row r="1" spans="1:1" ht="18">
      <c r="A1" s="67"/>
    </row>
    <row r="2" spans="1:1" ht="18">
      <c r="A2" s="67"/>
    </row>
    <row r="3" spans="1:1" ht="18">
      <c r="A3" s="67"/>
    </row>
    <row r="4" spans="1:1" ht="15.75">
      <c r="A4" s="68"/>
    </row>
    <row r="5" spans="1:1" ht="15.75">
      <c r="A5" s="69"/>
    </row>
    <row r="6" spans="1:1" ht="15.75">
      <c r="A6" s="68"/>
    </row>
    <row r="7" spans="1:1">
      <c r="A7" s="70"/>
    </row>
    <row r="8" spans="1:1">
      <c r="A8" s="70"/>
    </row>
  </sheetData>
  <pageMargins left="0.5" right="0.5" top="0.75" bottom="0.75" header="0" footer="0"/>
  <pageSetup fitToHeight="3"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N30"/>
  <sheetViews>
    <sheetView zoomScale="80" zoomScaleNormal="80" workbookViewId="0">
      <selection sqref="A1:N29"/>
    </sheetView>
  </sheetViews>
  <sheetFormatPr defaultRowHeight="15"/>
  <cols>
    <col min="1" max="1" width="5" customWidth="1"/>
    <col min="2" max="2" width="7.44140625" customWidth="1"/>
    <col min="3" max="3" width="7.77734375" customWidth="1"/>
    <col min="4" max="4" width="7.88671875" customWidth="1"/>
    <col min="5" max="5" width="2.21875" hidden="1" customWidth="1"/>
    <col min="6" max="6" width="10.77734375" customWidth="1"/>
    <col min="7" max="7" width="11.5546875" customWidth="1"/>
    <col min="8" max="8" width="12" customWidth="1"/>
    <col min="9" max="9" width="15.44140625" customWidth="1"/>
    <col min="10" max="10" width="18.21875" customWidth="1"/>
    <col min="11" max="11" width="18.5546875" customWidth="1"/>
    <col min="12" max="12" width="18.33203125" customWidth="1"/>
    <col min="13" max="13" width="18.5546875" customWidth="1"/>
    <col min="14" max="14" width="10.44140625" customWidth="1"/>
  </cols>
  <sheetData>
    <row r="1" spans="1:14" ht="21" thickBot="1">
      <c r="A1" s="96" t="s">
        <v>119</v>
      </c>
      <c r="B1" s="97"/>
      <c r="C1" s="97"/>
      <c r="D1" s="97"/>
      <c r="E1" s="97"/>
      <c r="F1" s="97"/>
      <c r="G1" s="97"/>
      <c r="H1" s="97"/>
      <c r="I1" s="97"/>
      <c r="J1" s="97"/>
      <c r="K1" s="97"/>
      <c r="L1" s="97"/>
      <c r="M1" s="97"/>
      <c r="N1" s="98"/>
    </row>
    <row r="2" spans="1:14">
      <c r="A2" s="99"/>
      <c r="B2" s="100" t="s">
        <v>120</v>
      </c>
      <c r="C2" s="100"/>
      <c r="D2" s="101"/>
      <c r="E2" s="102"/>
      <c r="F2" s="103" t="s">
        <v>121</v>
      </c>
      <c r="G2" s="103" t="s">
        <v>122</v>
      </c>
      <c r="H2" s="103" t="s">
        <v>123</v>
      </c>
      <c r="I2" s="103" t="s">
        <v>124</v>
      </c>
      <c r="J2" s="103" t="s">
        <v>124</v>
      </c>
      <c r="K2" s="103" t="s">
        <v>124</v>
      </c>
      <c r="L2" s="103" t="s">
        <v>125</v>
      </c>
      <c r="M2" s="103" t="s">
        <v>125</v>
      </c>
      <c r="N2" s="104" t="s">
        <v>126</v>
      </c>
    </row>
    <row r="3" spans="1:14" ht="15.75" thickBot="1">
      <c r="A3" s="105"/>
      <c r="B3" s="106"/>
      <c r="C3" s="106"/>
      <c r="D3" s="107"/>
      <c r="E3" s="108"/>
      <c r="F3" s="109" t="s">
        <v>127</v>
      </c>
      <c r="G3" s="109" t="s">
        <v>127</v>
      </c>
      <c r="H3" s="109" t="s">
        <v>128</v>
      </c>
      <c r="I3" s="109" t="s">
        <v>129</v>
      </c>
      <c r="J3" s="109" t="s">
        <v>129</v>
      </c>
      <c r="K3" s="109" t="s">
        <v>129</v>
      </c>
      <c r="L3" s="109" t="s">
        <v>130</v>
      </c>
      <c r="M3" s="109" t="s">
        <v>130</v>
      </c>
      <c r="N3" s="110"/>
    </row>
    <row r="4" spans="1:14" ht="15.75" thickBot="1">
      <c r="A4" s="111" t="s">
        <v>131</v>
      </c>
      <c r="B4" s="112" t="s">
        <v>132</v>
      </c>
      <c r="C4" s="112" t="s">
        <v>133</v>
      </c>
      <c r="D4" s="112" t="s">
        <v>134</v>
      </c>
      <c r="E4" s="113"/>
      <c r="F4" s="114" t="s">
        <v>135</v>
      </c>
      <c r="G4" s="115" t="s">
        <v>135</v>
      </c>
      <c r="H4" s="116" t="s">
        <v>135</v>
      </c>
      <c r="I4" s="116" t="s">
        <v>136</v>
      </c>
      <c r="J4" s="116" t="s">
        <v>137</v>
      </c>
      <c r="K4" s="116" t="s">
        <v>138</v>
      </c>
      <c r="L4" s="116" t="s">
        <v>137</v>
      </c>
      <c r="M4" s="116" t="s">
        <v>138</v>
      </c>
      <c r="N4" s="117" t="s">
        <v>139</v>
      </c>
    </row>
    <row r="5" spans="1:14">
      <c r="A5" s="118">
        <v>0.5</v>
      </c>
      <c r="B5" s="119"/>
      <c r="C5" s="119"/>
      <c r="D5" s="119"/>
      <c r="E5" s="120"/>
      <c r="F5" s="119"/>
      <c r="G5" s="119"/>
      <c r="H5" s="119"/>
      <c r="I5" s="119">
        <v>9</v>
      </c>
      <c r="J5" s="119"/>
      <c r="K5" s="119"/>
      <c r="L5" s="119"/>
      <c r="M5" s="119"/>
      <c r="N5" s="121">
        <v>9</v>
      </c>
    </row>
    <row r="6" spans="1:14">
      <c r="A6" s="122">
        <v>0.75</v>
      </c>
      <c r="B6" s="123"/>
      <c r="C6" s="123"/>
      <c r="D6" s="123"/>
      <c r="E6" s="124"/>
      <c r="F6" s="123"/>
      <c r="G6" s="123"/>
      <c r="H6" s="123"/>
      <c r="I6" s="123">
        <v>19</v>
      </c>
      <c r="J6" s="123"/>
      <c r="K6" s="123"/>
      <c r="L6" s="123"/>
      <c r="M6" s="123"/>
      <c r="N6" s="125">
        <v>9</v>
      </c>
    </row>
    <row r="7" spans="1:14">
      <c r="A7" s="122">
        <v>1</v>
      </c>
      <c r="B7" s="123"/>
      <c r="C7" s="123"/>
      <c r="D7" s="123"/>
      <c r="E7" s="124"/>
      <c r="F7" s="123"/>
      <c r="G7" s="123"/>
      <c r="H7" s="123"/>
      <c r="I7" s="123">
        <v>45</v>
      </c>
      <c r="J7" s="123"/>
      <c r="K7" s="123"/>
      <c r="L7" s="123"/>
      <c r="M7" s="123"/>
      <c r="N7" s="125">
        <v>43</v>
      </c>
    </row>
    <row r="8" spans="1:14">
      <c r="A8" s="122">
        <v>1.5</v>
      </c>
      <c r="B8" s="123"/>
      <c r="C8" s="123"/>
      <c r="D8" s="123"/>
      <c r="E8" s="124"/>
      <c r="F8" s="123"/>
      <c r="G8" s="123"/>
      <c r="H8" s="123"/>
      <c r="I8" s="123">
        <v>125</v>
      </c>
      <c r="J8" s="123"/>
      <c r="K8" s="123"/>
      <c r="L8" s="123"/>
      <c r="M8" s="123"/>
      <c r="N8" s="125">
        <v>89</v>
      </c>
    </row>
    <row r="9" spans="1:14">
      <c r="A9" s="122">
        <v>2</v>
      </c>
      <c r="B9" s="123">
        <v>260</v>
      </c>
      <c r="C9" s="123">
        <v>36</v>
      </c>
      <c r="D9" s="123">
        <v>95</v>
      </c>
      <c r="E9" s="124"/>
      <c r="F9" s="126">
        <v>145</v>
      </c>
      <c r="G9" s="127">
        <v>154</v>
      </c>
      <c r="H9" s="128">
        <v>209</v>
      </c>
      <c r="I9" s="123">
        <v>165</v>
      </c>
      <c r="J9" s="123"/>
      <c r="K9" s="123"/>
      <c r="L9" s="123"/>
      <c r="M9" s="123"/>
      <c r="N9" s="125">
        <v>172</v>
      </c>
    </row>
    <row r="10" spans="1:14">
      <c r="A10" s="122">
        <v>2.5</v>
      </c>
      <c r="B10" s="128">
        <v>420</v>
      </c>
      <c r="C10" s="128">
        <v>60</v>
      </c>
      <c r="D10" s="128">
        <v>150</v>
      </c>
      <c r="E10" s="124"/>
      <c r="F10" s="126">
        <v>225</v>
      </c>
      <c r="G10" s="127">
        <v>280</v>
      </c>
      <c r="H10" s="128">
        <v>376</v>
      </c>
      <c r="I10" s="123"/>
      <c r="J10" s="123"/>
      <c r="K10" s="123"/>
      <c r="L10" s="123"/>
      <c r="M10" s="123"/>
      <c r="N10" s="129"/>
    </row>
    <row r="11" spans="1:14">
      <c r="A11" s="122">
        <v>3</v>
      </c>
      <c r="B11" s="128">
        <v>625</v>
      </c>
      <c r="C11" s="128">
        <v>92</v>
      </c>
      <c r="D11" s="128">
        <v>220</v>
      </c>
      <c r="E11" s="124"/>
      <c r="F11" s="126">
        <v>325</v>
      </c>
      <c r="G11" s="127">
        <v>475</v>
      </c>
      <c r="H11" s="128">
        <v>580</v>
      </c>
      <c r="I11" s="123">
        <v>350</v>
      </c>
      <c r="J11" s="123">
        <v>165</v>
      </c>
      <c r="K11" s="123">
        <v>165</v>
      </c>
      <c r="L11" s="123">
        <v>245</v>
      </c>
      <c r="M11" s="123">
        <v>245</v>
      </c>
      <c r="N11" s="125">
        <v>294</v>
      </c>
    </row>
    <row r="12" spans="1:14">
      <c r="A12" s="122">
        <v>4</v>
      </c>
      <c r="B12" s="128">
        <v>1150</v>
      </c>
      <c r="C12" s="128">
        <v>180</v>
      </c>
      <c r="D12" s="128">
        <v>410</v>
      </c>
      <c r="E12" s="124"/>
      <c r="F12" s="126">
        <v>590</v>
      </c>
      <c r="G12" s="127">
        <v>760</v>
      </c>
      <c r="H12" s="128">
        <v>916</v>
      </c>
      <c r="I12" s="123">
        <v>550</v>
      </c>
      <c r="J12" s="123">
        <v>400</v>
      </c>
      <c r="K12" s="123">
        <v>400</v>
      </c>
      <c r="L12" s="123">
        <v>450</v>
      </c>
      <c r="M12" s="123">
        <v>450</v>
      </c>
      <c r="N12" s="125">
        <v>548</v>
      </c>
    </row>
    <row r="13" spans="1:14">
      <c r="A13" s="122">
        <v>6</v>
      </c>
      <c r="B13" s="128">
        <v>2650</v>
      </c>
      <c r="C13" s="128">
        <v>430</v>
      </c>
      <c r="D13" s="128">
        <v>950</v>
      </c>
      <c r="E13" s="124"/>
      <c r="F13" s="130">
        <v>1950</v>
      </c>
      <c r="G13" s="131">
        <v>2090</v>
      </c>
      <c r="H13" s="128">
        <v>2320</v>
      </c>
      <c r="I13" s="123">
        <v>765</v>
      </c>
      <c r="J13" s="123">
        <v>1050</v>
      </c>
      <c r="K13" s="123">
        <v>1050</v>
      </c>
      <c r="L13" s="123">
        <v>1500</v>
      </c>
      <c r="M13" s="123">
        <v>1240</v>
      </c>
      <c r="N13" s="125">
        <v>1075</v>
      </c>
    </row>
    <row r="14" spans="1:14">
      <c r="A14" s="122">
        <v>8</v>
      </c>
      <c r="B14" s="128">
        <v>4850</v>
      </c>
      <c r="C14" s="128">
        <v>810</v>
      </c>
      <c r="D14" s="128">
        <v>1750</v>
      </c>
      <c r="E14" s="124"/>
      <c r="F14" s="130">
        <v>3250</v>
      </c>
      <c r="G14" s="131">
        <v>4120</v>
      </c>
      <c r="H14" s="128">
        <v>5800</v>
      </c>
      <c r="I14" s="123">
        <v>1890</v>
      </c>
      <c r="J14" s="123">
        <v>2200</v>
      </c>
      <c r="K14" s="123">
        <v>1800</v>
      </c>
      <c r="L14" s="123">
        <v>3050</v>
      </c>
      <c r="M14" s="123">
        <v>2130</v>
      </c>
      <c r="N14" s="125">
        <v>1591</v>
      </c>
    </row>
    <row r="15" spans="1:14">
      <c r="A15" s="122">
        <v>10</v>
      </c>
      <c r="B15" s="128">
        <v>7750</v>
      </c>
      <c r="C15" s="128">
        <v>1325</v>
      </c>
      <c r="D15" s="128">
        <v>2800</v>
      </c>
      <c r="E15" s="124"/>
      <c r="F15" s="130">
        <v>5000</v>
      </c>
      <c r="G15" s="131">
        <v>8453</v>
      </c>
      <c r="H15" s="128">
        <v>9396</v>
      </c>
      <c r="I15" s="123">
        <v>3900</v>
      </c>
      <c r="J15" s="123">
        <v>3300</v>
      </c>
      <c r="K15" s="123">
        <v>3150</v>
      </c>
      <c r="L15" s="123">
        <v>4870</v>
      </c>
      <c r="M15" s="123">
        <v>3180</v>
      </c>
      <c r="N15" s="125">
        <v>2159</v>
      </c>
    </row>
    <row r="16" spans="1:14">
      <c r="A16" s="122">
        <v>12</v>
      </c>
      <c r="B16" s="128">
        <v>11500</v>
      </c>
      <c r="C16" s="128">
        <v>1950</v>
      </c>
      <c r="D16" s="128">
        <v>4100</v>
      </c>
      <c r="E16" s="124"/>
      <c r="F16" s="126">
        <v>7500</v>
      </c>
      <c r="G16" s="131">
        <v>10465</v>
      </c>
      <c r="H16" s="128">
        <v>15892</v>
      </c>
      <c r="I16" s="123">
        <v>6700</v>
      </c>
      <c r="J16" s="123">
        <v>5100</v>
      </c>
      <c r="K16" s="123">
        <v>4750</v>
      </c>
      <c r="L16" s="123">
        <v>7300</v>
      </c>
      <c r="M16" s="123">
        <v>5090</v>
      </c>
      <c r="N16" s="125">
        <v>3200</v>
      </c>
    </row>
    <row r="17" spans="1:14">
      <c r="A17" s="122">
        <v>14</v>
      </c>
      <c r="B17" s="128">
        <v>14000</v>
      </c>
      <c r="C17" s="128">
        <v>2500</v>
      </c>
      <c r="D17" s="128">
        <v>6200</v>
      </c>
      <c r="E17" s="124"/>
      <c r="F17" s="127">
        <v>10000</v>
      </c>
      <c r="G17" s="131">
        <v>12880</v>
      </c>
      <c r="H17" s="128">
        <v>21344</v>
      </c>
      <c r="I17" s="123">
        <v>5100</v>
      </c>
      <c r="J17" s="123">
        <v>5800</v>
      </c>
      <c r="K17" s="123">
        <v>5200</v>
      </c>
      <c r="L17" s="123">
        <v>10500</v>
      </c>
      <c r="M17" s="123">
        <v>7470</v>
      </c>
      <c r="N17" s="129"/>
    </row>
    <row r="18" spans="1:14">
      <c r="A18" s="122">
        <v>16</v>
      </c>
      <c r="B18" s="128">
        <v>19000</v>
      </c>
      <c r="C18" s="128">
        <v>3400</v>
      </c>
      <c r="D18" s="128">
        <v>8400</v>
      </c>
      <c r="E18" s="124"/>
      <c r="F18" s="127">
        <v>13600</v>
      </c>
      <c r="G18" s="131">
        <v>17020</v>
      </c>
      <c r="H18" s="128">
        <v>26912</v>
      </c>
      <c r="I18" s="123">
        <v>8100</v>
      </c>
      <c r="J18" s="123">
        <v>8000</v>
      </c>
      <c r="K18" s="123">
        <v>6900</v>
      </c>
      <c r="L18" s="123">
        <v>13700</v>
      </c>
      <c r="M18" s="123">
        <v>9100</v>
      </c>
      <c r="N18" s="129"/>
    </row>
    <row r="19" spans="1:14">
      <c r="A19" s="122">
        <v>18</v>
      </c>
      <c r="B19" s="128">
        <v>23500</v>
      </c>
      <c r="C19" s="128">
        <v>4500</v>
      </c>
      <c r="D19" s="128">
        <v>11000</v>
      </c>
      <c r="E19" s="124"/>
      <c r="F19" s="127">
        <v>18000</v>
      </c>
      <c r="G19" s="131">
        <v>22655</v>
      </c>
      <c r="H19" s="128">
        <v>34104</v>
      </c>
      <c r="I19" s="123">
        <v>11000</v>
      </c>
      <c r="J19" s="123">
        <v>10500</v>
      </c>
      <c r="K19" s="123">
        <v>9300</v>
      </c>
      <c r="L19" s="123">
        <v>17600</v>
      </c>
      <c r="M19" s="123">
        <v>12100</v>
      </c>
      <c r="N19" s="129"/>
    </row>
    <row r="20" spans="1:14">
      <c r="A20" s="122">
        <v>20</v>
      </c>
      <c r="B20" s="128">
        <v>30000</v>
      </c>
      <c r="C20" s="128"/>
      <c r="D20" s="128">
        <v>13500</v>
      </c>
      <c r="E20" s="124"/>
      <c r="F20" s="127">
        <v>22600</v>
      </c>
      <c r="G20" s="131">
        <v>28750</v>
      </c>
      <c r="H20" s="128">
        <v>41760</v>
      </c>
      <c r="I20" s="123">
        <v>16000</v>
      </c>
      <c r="J20" s="123">
        <v>14000</v>
      </c>
      <c r="K20" s="123">
        <v>11300</v>
      </c>
      <c r="L20" s="123">
        <v>21900</v>
      </c>
      <c r="M20" s="123">
        <v>14400</v>
      </c>
      <c r="N20" s="129"/>
    </row>
    <row r="21" spans="1:14">
      <c r="A21" s="122">
        <v>24</v>
      </c>
      <c r="B21" s="128">
        <v>44000</v>
      </c>
      <c r="C21" s="128"/>
      <c r="D21" s="128">
        <v>20000</v>
      </c>
      <c r="E21" s="124"/>
      <c r="F21" s="127">
        <v>30000</v>
      </c>
      <c r="G21" s="131">
        <v>41860</v>
      </c>
      <c r="H21" s="128">
        <v>60500</v>
      </c>
      <c r="I21" s="132"/>
      <c r="J21" s="123">
        <v>21600</v>
      </c>
      <c r="K21" s="123">
        <v>18500</v>
      </c>
      <c r="L21" s="123">
        <v>31000</v>
      </c>
      <c r="M21" s="123">
        <v>22000</v>
      </c>
      <c r="N21" s="129"/>
    </row>
    <row r="22" spans="1:14">
      <c r="A22" s="122">
        <v>26</v>
      </c>
      <c r="B22" s="128">
        <v>53000</v>
      </c>
      <c r="C22" s="128"/>
      <c r="D22" s="128">
        <v>23500</v>
      </c>
      <c r="E22" s="124"/>
      <c r="F22" s="133"/>
      <c r="G22" s="131">
        <v>43730</v>
      </c>
      <c r="H22" s="128"/>
      <c r="I22" s="132"/>
      <c r="J22" s="123"/>
      <c r="K22" s="123"/>
      <c r="L22" s="123"/>
      <c r="M22" s="123"/>
      <c r="N22" s="129"/>
    </row>
    <row r="23" spans="1:14">
      <c r="A23" s="122">
        <v>28</v>
      </c>
      <c r="B23" s="128">
        <v>62000</v>
      </c>
      <c r="C23" s="128"/>
      <c r="D23" s="128">
        <v>28000</v>
      </c>
      <c r="E23" s="124"/>
      <c r="F23" s="133"/>
      <c r="G23" s="131">
        <v>55100</v>
      </c>
      <c r="H23" s="128"/>
      <c r="I23" s="132"/>
      <c r="J23" s="123">
        <v>30000</v>
      </c>
      <c r="K23" s="123"/>
      <c r="L23" s="123">
        <v>39300</v>
      </c>
      <c r="M23" s="123">
        <v>28100</v>
      </c>
      <c r="N23" s="129"/>
    </row>
    <row r="24" spans="1:14">
      <c r="A24" s="122">
        <v>30</v>
      </c>
      <c r="B24" s="128">
        <v>73000</v>
      </c>
      <c r="C24" s="128"/>
      <c r="D24" s="128"/>
      <c r="E24" s="124"/>
      <c r="F24" s="127">
        <v>47000</v>
      </c>
      <c r="G24" s="131">
        <v>59740</v>
      </c>
      <c r="H24" s="128"/>
      <c r="I24" s="132"/>
      <c r="J24" s="123">
        <v>34000</v>
      </c>
      <c r="K24" s="123"/>
      <c r="L24" s="123">
        <v>46900</v>
      </c>
      <c r="M24" s="123">
        <v>28800</v>
      </c>
      <c r="N24" s="129"/>
    </row>
    <row r="25" spans="1:14">
      <c r="A25" s="122">
        <v>32</v>
      </c>
      <c r="B25" s="128">
        <v>81000</v>
      </c>
      <c r="C25" s="128"/>
      <c r="D25" s="128"/>
      <c r="E25" s="124"/>
      <c r="F25" s="133"/>
      <c r="G25" s="131">
        <v>73660</v>
      </c>
      <c r="H25" s="128"/>
      <c r="I25" s="132"/>
      <c r="J25" s="123">
        <v>41000</v>
      </c>
      <c r="K25" s="123"/>
      <c r="L25" s="123">
        <v>53600</v>
      </c>
      <c r="M25" s="123"/>
      <c r="N25" s="129"/>
    </row>
    <row r="26" spans="1:14">
      <c r="A26" s="122">
        <v>36</v>
      </c>
      <c r="B26" s="128">
        <v>108000</v>
      </c>
      <c r="C26" s="128"/>
      <c r="D26" s="128"/>
      <c r="E26" s="124"/>
      <c r="F26" s="127">
        <v>70000</v>
      </c>
      <c r="G26" s="131">
        <v>98250</v>
      </c>
      <c r="H26" s="128"/>
      <c r="I26" s="132"/>
      <c r="J26" s="123">
        <v>55500</v>
      </c>
      <c r="K26" s="123"/>
      <c r="L26" s="123">
        <v>66400</v>
      </c>
      <c r="M26" s="123">
        <v>40300</v>
      </c>
      <c r="N26" s="129"/>
    </row>
    <row r="27" spans="1:14" ht="15.75" thickBot="1">
      <c r="A27" s="134">
        <v>40</v>
      </c>
      <c r="B27" s="135"/>
      <c r="C27" s="135"/>
      <c r="D27" s="135"/>
      <c r="E27" s="113"/>
      <c r="F27" s="135"/>
      <c r="G27" s="136">
        <v>125860</v>
      </c>
      <c r="H27" s="137"/>
      <c r="I27" s="138"/>
      <c r="J27" s="135">
        <v>75000</v>
      </c>
      <c r="K27" s="135"/>
      <c r="L27" s="135">
        <v>82800</v>
      </c>
      <c r="M27" s="135"/>
      <c r="N27" s="139"/>
    </row>
    <row r="28" spans="1:14">
      <c r="A28" s="140"/>
      <c r="B28" s="140"/>
      <c r="C28" s="140"/>
      <c r="D28" s="140"/>
      <c r="E28" s="140"/>
      <c r="F28" s="140"/>
      <c r="G28" s="140"/>
      <c r="H28" s="141"/>
      <c r="I28" s="140"/>
      <c r="J28" s="140"/>
      <c r="K28" s="140"/>
      <c r="L28" s="140"/>
      <c r="M28" s="140"/>
      <c r="N28" s="140"/>
    </row>
    <row r="29" spans="1:14">
      <c r="A29" s="140"/>
      <c r="B29" s="140"/>
      <c r="C29" s="140"/>
      <c r="D29" s="140"/>
      <c r="E29" s="140"/>
      <c r="F29" s="140"/>
      <c r="G29" s="140"/>
      <c r="H29" s="141"/>
      <c r="I29" s="140"/>
      <c r="J29" s="140" t="s">
        <v>140</v>
      </c>
      <c r="K29" s="140"/>
      <c r="L29" s="140"/>
      <c r="M29" s="140"/>
      <c r="N29" s="140"/>
    </row>
    <row r="30" spans="1:14">
      <c r="I30" s="94"/>
      <c r="J30" s="95"/>
      <c r="L30" s="95"/>
    </row>
  </sheetData>
  <sheetProtection sheet="1" objects="1" scenarios="1" formatCells="0" formatColumns="0"/>
  <mergeCells count="2">
    <mergeCell ref="A1:N1"/>
    <mergeCell ref="B2:D2"/>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62</vt:i4>
      </vt:variant>
    </vt:vector>
  </HeadingPairs>
  <TitlesOfParts>
    <vt:vector size="65" baseType="lpstr">
      <vt:lpstr>PRESSURE LOSS</vt:lpstr>
      <vt:lpstr>INSTRUCTIONS</vt:lpstr>
      <vt:lpstr>ISO VALVE Cv TABLES</vt:lpstr>
      <vt:lpstr>Cv_Valve_1</vt:lpstr>
      <vt:lpstr>Cv_Valve_2</vt:lpstr>
      <vt:lpstr>Cv_Valve_3</vt:lpstr>
      <vt:lpstr>Cv_Valve_4</vt:lpstr>
      <vt:lpstr>Cv_Valve_5</vt:lpstr>
      <vt:lpstr>D_ft</vt:lpstr>
      <vt:lpstr>d_in</vt:lpstr>
      <vt:lpstr>Delta_h</vt:lpstr>
      <vt:lpstr>Delta_P</vt:lpstr>
      <vt:lpstr>Epsilon</vt:lpstr>
      <vt:lpstr>Exp_Beta</vt:lpstr>
      <vt:lpstr>f</vt:lpstr>
      <vt:lpstr>f_T</vt:lpstr>
      <vt:lpstr>G</vt:lpstr>
      <vt:lpstr>K_Addl_Equip</vt:lpstr>
      <vt:lpstr>K_of_45L</vt:lpstr>
      <vt:lpstr>K_of_Balls</vt:lpstr>
      <vt:lpstr>K_of_BFs</vt:lpstr>
      <vt:lpstr>K_of_Checks</vt:lpstr>
      <vt:lpstr>K_of_Entrance</vt:lpstr>
      <vt:lpstr>K_of_Exit</vt:lpstr>
      <vt:lpstr>K_of_Expander</vt:lpstr>
      <vt:lpstr>K_of_Gates</vt:lpstr>
      <vt:lpstr>K_of_Globes</vt:lpstr>
      <vt:lpstr>K_of_LR_90L</vt:lpstr>
      <vt:lpstr>K_of_Pipe</vt:lpstr>
      <vt:lpstr>K_of_Plugs</vt:lpstr>
      <vt:lpstr>K_of_Reducer</vt:lpstr>
      <vt:lpstr>K_of_Std_90L</vt:lpstr>
      <vt:lpstr>K_of_T_Brnch</vt:lpstr>
      <vt:lpstr>K_of_T_Strt</vt:lpstr>
      <vt:lpstr>K_of_Y_Globes</vt:lpstr>
      <vt:lpstr>K_Valve_1</vt:lpstr>
      <vt:lpstr>K_Valve_2</vt:lpstr>
      <vt:lpstr>K_Valve_3</vt:lpstr>
      <vt:lpstr>K_Valve_4</vt:lpstr>
      <vt:lpstr>K_Valve_5</vt:lpstr>
      <vt:lpstr>L</vt:lpstr>
      <vt:lpstr>Mu</vt:lpstr>
      <vt:lpstr>No_of_45L</vt:lpstr>
      <vt:lpstr>No_of_Ball</vt:lpstr>
      <vt:lpstr>No_of_BF</vt:lpstr>
      <vt:lpstr>No_of_Check</vt:lpstr>
      <vt:lpstr>No_of_Entrance</vt:lpstr>
      <vt:lpstr>No_of_Exit</vt:lpstr>
      <vt:lpstr>No_of_Gate</vt:lpstr>
      <vt:lpstr>No_of_Globe</vt:lpstr>
      <vt:lpstr>No_of_LR_90L</vt:lpstr>
      <vt:lpstr>No_of_Plug</vt:lpstr>
      <vt:lpstr>No_of_Std_90L</vt:lpstr>
      <vt:lpstr>No_of_T_Brnch</vt:lpstr>
      <vt:lpstr>No_of_T_Strt</vt:lpstr>
      <vt:lpstr>No_of_Y_Globe</vt:lpstr>
      <vt:lpstr>P_1</vt:lpstr>
      <vt:lpstr>P_2</vt:lpstr>
      <vt:lpstr>INSTRUCTIONS!Print_Area</vt:lpstr>
      <vt:lpstr>'PRESSURE LOSS'!Print_Area</vt:lpstr>
      <vt:lpstr>Q</vt:lpstr>
      <vt:lpstr>Re</vt:lpstr>
      <vt:lpstr>Red_Beta</vt:lpstr>
      <vt:lpstr>Rho</vt:lpstr>
      <vt:lpstr>Total_K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Monsen</dc:creator>
  <cp:lastModifiedBy>JonM</cp:lastModifiedBy>
  <cp:lastPrinted>2015-05-20T20:41:01Z</cp:lastPrinted>
  <dcterms:created xsi:type="dcterms:W3CDTF">2011-11-06T22:09:56Z</dcterms:created>
  <dcterms:modified xsi:type="dcterms:W3CDTF">2015-05-21T11:15:46Z</dcterms:modified>
</cp:coreProperties>
</file>